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ocdata\Data\Projects\PAVIRO\PowerCalculator\ReleasedVersion\Website\"/>
    </mc:Choice>
  </mc:AlternateContent>
  <workbookProtection lockStructure="1"/>
  <bookViews>
    <workbookView xWindow="0" yWindow="0" windowWidth="25200" windowHeight="11895" activeTab="1"/>
  </bookViews>
  <sheets>
    <sheet name="ENGLISH" sheetId="1" r:id="rId1"/>
    <sheet name="DEUTSCH" sheetId="3" r:id="rId2"/>
  </sheets>
  <definedNames>
    <definedName name="_xlnm.Print_Area" localSheetId="1">DEUTSCH!$A$1:$Q$56</definedName>
    <definedName name="_xlnm.Print_Area" localSheetId="0">ENGLISH!$A$1:$Q$57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8" i="3" l="1"/>
  <c r="AH47" i="3"/>
  <c r="AG48" i="3"/>
  <c r="AG47" i="3"/>
  <c r="AF48" i="3"/>
  <c r="AF47" i="3"/>
  <c r="AE48" i="3"/>
  <c r="AE47" i="3"/>
  <c r="AD48" i="3"/>
  <c r="AD47" i="3"/>
  <c r="AC48" i="3"/>
  <c r="AC47" i="3"/>
  <c r="AB48" i="3"/>
  <c r="AB47" i="3"/>
  <c r="AH48" i="1"/>
  <c r="AH47" i="1"/>
  <c r="AG48" i="1"/>
  <c r="AG47" i="1"/>
  <c r="AF48" i="1"/>
  <c r="AF47" i="1"/>
  <c r="AE48" i="1"/>
  <c r="AE47" i="1"/>
  <c r="AD48" i="1"/>
  <c r="AD47" i="1"/>
  <c r="AC48" i="1"/>
  <c r="AC47" i="1"/>
  <c r="AB48" i="1"/>
  <c r="AB47" i="1"/>
  <c r="AC46" i="3"/>
  <c r="AB46" i="3"/>
  <c r="AC46" i="1"/>
  <c r="AB46" i="1"/>
  <c r="AE35" i="3" l="1"/>
  <c r="AD35" i="3"/>
  <c r="AC35" i="3"/>
  <c r="AE35" i="1"/>
  <c r="AD35" i="1"/>
  <c r="AC35" i="1"/>
  <c r="AE39" i="1"/>
  <c r="AD39" i="1"/>
  <c r="AC39" i="1"/>
  <c r="AE34" i="1"/>
  <c r="AD34" i="1"/>
  <c r="AC34" i="1"/>
  <c r="AE39" i="3"/>
  <c r="AD39" i="3"/>
  <c r="AB39" i="3"/>
  <c r="AC39" i="3"/>
  <c r="AE34" i="3"/>
  <c r="AD34" i="3"/>
  <c r="AC34" i="3"/>
  <c r="AH40" i="1" l="1"/>
  <c r="AH36" i="1"/>
  <c r="AH34" i="1"/>
  <c r="AG40" i="1"/>
  <c r="AG36" i="1"/>
  <c r="AG34" i="1"/>
  <c r="AE40" i="1"/>
  <c r="AE36" i="1"/>
  <c r="AD40" i="1"/>
  <c r="AD36" i="1"/>
  <c r="AC40" i="1"/>
  <c r="AC36" i="1"/>
  <c r="AB40" i="1"/>
  <c r="AB36" i="1"/>
  <c r="AB34" i="1"/>
  <c r="AF20" i="1"/>
  <c r="AF11" i="1"/>
  <c r="AF9" i="1"/>
  <c r="AF8" i="1"/>
  <c r="AC51" i="3"/>
  <c r="AH49" i="3"/>
  <c r="AG49" i="3"/>
  <c r="AE49" i="3"/>
  <c r="AD49" i="3"/>
  <c r="AC49" i="3"/>
  <c r="AB49" i="3"/>
  <c r="AF49" i="3" s="1"/>
  <c r="AG46" i="3"/>
  <c r="AH46" i="3" s="1"/>
  <c r="AF46" i="3"/>
  <c r="AE46" i="3"/>
  <c r="AD46" i="3"/>
  <c r="AG45" i="3"/>
  <c r="AH45" i="3" s="1"/>
  <c r="AE45" i="3"/>
  <c r="AD45" i="3"/>
  <c r="AC45" i="3"/>
  <c r="AF45" i="3" s="1"/>
  <c r="AB45" i="3"/>
  <c r="A45" i="3"/>
  <c r="AG41" i="3"/>
  <c r="AH41" i="3" s="1"/>
  <c r="AE41" i="3"/>
  <c r="AD41" i="3"/>
  <c r="AC41" i="3"/>
  <c r="AB41" i="3"/>
  <c r="AH40" i="3"/>
  <c r="AG40" i="3"/>
  <c r="AE40" i="3"/>
  <c r="AD40" i="3"/>
  <c r="AC40" i="3"/>
  <c r="AB40" i="3"/>
  <c r="AG39" i="3"/>
  <c r="AH39" i="3" s="1"/>
  <c r="AF39" i="3"/>
  <c r="AH37" i="3"/>
  <c r="AG37" i="3"/>
  <c r="AF37" i="3"/>
  <c r="AE37" i="3"/>
  <c r="AD37" i="3"/>
  <c r="AC37" i="3"/>
  <c r="AB37" i="3"/>
  <c r="AH36" i="3"/>
  <c r="AG36" i="3"/>
  <c r="AF36" i="3"/>
  <c r="AE36" i="3"/>
  <c r="AD36" i="3"/>
  <c r="AC36" i="3"/>
  <c r="AB36" i="3"/>
  <c r="AG35" i="3"/>
  <c r="AH35" i="3" s="1"/>
  <c r="AB35" i="3"/>
  <c r="AF35" i="3" s="1"/>
  <c r="AH34" i="3"/>
  <c r="AG34" i="3"/>
  <c r="AB34" i="3"/>
  <c r="AC27" i="3"/>
  <c r="AG26" i="3"/>
  <c r="AF26" i="3"/>
  <c r="AH26" i="3" s="1"/>
  <c r="AE26" i="3"/>
  <c r="AJ26" i="3" s="1"/>
  <c r="AD26" i="3"/>
  <c r="AI26" i="3" s="1"/>
  <c r="AC26" i="3"/>
  <c r="AB26" i="3"/>
  <c r="AA26" i="3"/>
  <c r="AJ25" i="3"/>
  <c r="AI25" i="3"/>
  <c r="AH25" i="3"/>
  <c r="AG25" i="3"/>
  <c r="AF25" i="3"/>
  <c r="AF24" i="3"/>
  <c r="AI24" i="3" s="1"/>
  <c r="AJ23" i="3"/>
  <c r="AI23" i="3"/>
  <c r="AF23" i="3"/>
  <c r="AH23" i="3" s="1"/>
  <c r="AF22" i="3"/>
  <c r="AI22" i="3" s="1"/>
  <c r="AJ21" i="3"/>
  <c r="AI21" i="3"/>
  <c r="AH21" i="3"/>
  <c r="AG21" i="3"/>
  <c r="AF20" i="3"/>
  <c r="AG20" i="3" s="1"/>
  <c r="AI19" i="3"/>
  <c r="AH19" i="3"/>
  <c r="AG19" i="3"/>
  <c r="AF19" i="3"/>
  <c r="AH18" i="3"/>
  <c r="AG18" i="3"/>
  <c r="AF18" i="3"/>
  <c r="AE18" i="3"/>
  <c r="AD18" i="3"/>
  <c r="AF17" i="3"/>
  <c r="AH17" i="3" s="1"/>
  <c r="O37" i="3" s="1"/>
  <c r="AJ16" i="3"/>
  <c r="AI16" i="3"/>
  <c r="AH16" i="3"/>
  <c r="AG16" i="3"/>
  <c r="AF15" i="3"/>
  <c r="AJ15" i="3" s="1"/>
  <c r="AC15" i="3"/>
  <c r="AH15" i="3" s="1"/>
  <c r="AB15" i="3"/>
  <c r="AG15" i="3" s="1"/>
  <c r="AF14" i="3"/>
  <c r="AH14" i="3" s="1"/>
  <c r="AF13" i="3"/>
  <c r="AE13" i="3"/>
  <c r="AE38" i="3" s="1"/>
  <c r="AD13" i="3"/>
  <c r="AD38" i="3" s="1"/>
  <c r="AC13" i="3"/>
  <c r="AC38" i="3" s="1"/>
  <c r="AB13" i="3"/>
  <c r="AB38" i="3" s="1"/>
  <c r="AJ12" i="3"/>
  <c r="AI12" i="3"/>
  <c r="AH12" i="3"/>
  <c r="AF12" i="3"/>
  <c r="AG12" i="3" s="1"/>
  <c r="AH11" i="3"/>
  <c r="AG11" i="3"/>
  <c r="AF11" i="3"/>
  <c r="AJ11" i="3" s="1"/>
  <c r="AF10" i="3"/>
  <c r="AI10" i="3" s="1"/>
  <c r="AF9" i="3"/>
  <c r="AH9" i="3" s="1"/>
  <c r="AF8" i="3"/>
  <c r="AE8" i="3"/>
  <c r="AE33" i="3" s="1"/>
  <c r="AD8" i="3"/>
  <c r="AD33" i="3" s="1"/>
  <c r="AC8" i="3"/>
  <c r="AC33" i="3" s="1"/>
  <c r="AB8" i="3"/>
  <c r="AB33" i="3" s="1"/>
  <c r="AE13" i="1"/>
  <c r="AD13" i="1"/>
  <c r="AC13" i="1"/>
  <c r="AB13" i="1"/>
  <c r="AE8" i="1"/>
  <c r="AH33" i="1" s="1"/>
  <c r="AD8" i="1"/>
  <c r="AD33" i="1" s="1"/>
  <c r="AC8" i="1"/>
  <c r="AC33" i="1" s="1"/>
  <c r="AB8" i="1"/>
  <c r="AB33" i="1" s="1"/>
  <c r="AJ22" i="3" l="1"/>
  <c r="AG33" i="3"/>
  <c r="AG38" i="3"/>
  <c r="AH38" i="3" s="1"/>
  <c r="AH33" i="3"/>
  <c r="AG24" i="3"/>
  <c r="AG22" i="3"/>
  <c r="AH22" i="3"/>
  <c r="AF41" i="3"/>
  <c r="AI18" i="3"/>
  <c r="AE43" i="3"/>
  <c r="AE50" i="3" s="1"/>
  <c r="AE51" i="3" s="1"/>
  <c r="AJ18" i="3"/>
  <c r="AG10" i="3"/>
  <c r="AH10" i="3"/>
  <c r="AJ10" i="3"/>
  <c r="AI9" i="3"/>
  <c r="AF34" i="3"/>
  <c r="AI15" i="3"/>
  <c r="AG8" i="3"/>
  <c r="AG13" i="3"/>
  <c r="AG17" i="3"/>
  <c r="N37" i="3" s="1"/>
  <c r="AJ17" i="3"/>
  <c r="Q37" i="3" s="1"/>
  <c r="AI17" i="3"/>
  <c r="P37" i="3" s="1"/>
  <c r="AI14" i="3"/>
  <c r="AJ14" i="3"/>
  <c r="AH13" i="3"/>
  <c r="AI13" i="3"/>
  <c r="AF38" i="3"/>
  <c r="AJ9" i="3"/>
  <c r="AG9" i="3"/>
  <c r="AG33" i="1"/>
  <c r="AE33" i="1"/>
  <c r="AG43" i="3"/>
  <c r="AH43" i="3"/>
  <c r="AF40" i="3"/>
  <c r="AH20" i="3"/>
  <c r="AI20" i="3"/>
  <c r="AJ20" i="3"/>
  <c r="AB44" i="3"/>
  <c r="AB50" i="3" s="1"/>
  <c r="AH8" i="3"/>
  <c r="AI11" i="3"/>
  <c r="AJ13" i="3"/>
  <c r="AH24" i="3"/>
  <c r="AC44" i="3"/>
  <c r="AC50" i="3" s="1"/>
  <c r="AI8" i="3"/>
  <c r="AJ8" i="3"/>
  <c r="AG23" i="3"/>
  <c r="AJ24" i="3"/>
  <c r="AD43" i="3"/>
  <c r="AG14" i="3"/>
  <c r="AF33" i="3"/>
  <c r="AB26" i="1"/>
  <c r="AC15" i="1"/>
  <c r="AB15" i="1"/>
  <c r="AB44" i="1" s="1"/>
  <c r="AH50" i="3" l="1"/>
  <c r="P29" i="3" s="1"/>
  <c r="AF43" i="3"/>
  <c r="N36" i="3"/>
  <c r="N38" i="3" s="1"/>
  <c r="AG27" i="3"/>
  <c r="AE27" i="3"/>
  <c r="AJ27" i="3"/>
  <c r="Q36" i="3"/>
  <c r="Q38" i="3" s="1"/>
  <c r="P36" i="3"/>
  <c r="P38" i="3" s="1"/>
  <c r="AI27" i="3"/>
  <c r="AB51" i="3"/>
  <c r="AB27" i="3"/>
  <c r="O36" i="3"/>
  <c r="O38" i="3" s="1"/>
  <c r="AH27" i="3"/>
  <c r="AG29" i="3" s="1"/>
  <c r="P31" i="3" s="1"/>
  <c r="P23" i="3" s="1"/>
  <c r="AF44" i="3"/>
  <c r="AD50" i="3"/>
  <c r="AE18" i="1"/>
  <c r="AD18" i="1"/>
  <c r="P28" i="3" l="1"/>
  <c r="AD51" i="3"/>
  <c r="AD27" i="3"/>
  <c r="P26" i="3" s="1"/>
  <c r="AF50" i="3"/>
  <c r="P13" i="3" s="1"/>
  <c r="P15" i="3" s="1"/>
  <c r="AD43" i="1"/>
  <c r="AF22" i="1"/>
  <c r="AG22" i="1" s="1"/>
  <c r="AF23" i="1"/>
  <c r="AI23" i="1" s="1"/>
  <c r="AF24" i="1"/>
  <c r="AG24" i="1" s="1"/>
  <c r="AF25" i="1"/>
  <c r="AG25" i="1" s="1"/>
  <c r="AG23" i="1" l="1"/>
  <c r="AH23" i="1"/>
  <c r="AJ24" i="1"/>
  <c r="AI22" i="1"/>
  <c r="AH24" i="1"/>
  <c r="AH22" i="1"/>
  <c r="AJ22" i="1"/>
  <c r="AI24" i="1"/>
  <c r="AI25" i="1"/>
  <c r="AH25" i="1"/>
  <c r="AJ23" i="1"/>
  <c r="AJ25" i="1"/>
  <c r="AA26" i="1" l="1"/>
  <c r="AG9" i="1" l="1"/>
  <c r="AF14" i="1"/>
  <c r="AG14" i="1" s="1"/>
  <c r="AF10" i="1"/>
  <c r="AH10" i="1" s="1"/>
  <c r="AH14" i="1" l="1"/>
  <c r="AJ14" i="1"/>
  <c r="AI10" i="1"/>
  <c r="AI14" i="1"/>
  <c r="AG10" i="1"/>
  <c r="AJ10" i="1"/>
  <c r="AH9" i="1"/>
  <c r="AI9" i="1"/>
  <c r="AJ9" i="1"/>
  <c r="AE46" i="1"/>
  <c r="AE45" i="1"/>
  <c r="AG49" i="1"/>
  <c r="AH49" i="1" s="1"/>
  <c r="AB49" i="1"/>
  <c r="AE49" i="1"/>
  <c r="AD49" i="1"/>
  <c r="AC49" i="1"/>
  <c r="AG46" i="1"/>
  <c r="AH46" i="1" s="1"/>
  <c r="AG45" i="1"/>
  <c r="AH45" i="1" s="1"/>
  <c r="AD46" i="1"/>
  <c r="AD45" i="1"/>
  <c r="AC45" i="1"/>
  <c r="AB45" i="1"/>
  <c r="AG41" i="1"/>
  <c r="AH41" i="1" s="1"/>
  <c r="AE41" i="1"/>
  <c r="AD41" i="1"/>
  <c r="AC41" i="1"/>
  <c r="AB41" i="1"/>
  <c r="AE43" i="1"/>
  <c r="AE38" i="1"/>
  <c r="AD38" i="1"/>
  <c r="AC38" i="1"/>
  <c r="AE26" i="1"/>
  <c r="AD26" i="1"/>
  <c r="AC26" i="1"/>
  <c r="AC44" i="1"/>
  <c r="AG39" i="1"/>
  <c r="AH39" i="1" s="1"/>
  <c r="AG37" i="1"/>
  <c r="AB37" i="1"/>
  <c r="AB39" i="1"/>
  <c r="AB35" i="1"/>
  <c r="AG38" i="1" l="1"/>
  <c r="AH38" i="1" s="1"/>
  <c r="AF45" i="1"/>
  <c r="AF49" i="1"/>
  <c r="AF40" i="1"/>
  <c r="AF46" i="1"/>
  <c r="AF39" i="1"/>
  <c r="AF34" i="1"/>
  <c r="AF41" i="1"/>
  <c r="AF43" i="1"/>
  <c r="AF35" i="1"/>
  <c r="AG35" i="1"/>
  <c r="AH35" i="1" s="1"/>
  <c r="AH37" i="1" l="1"/>
  <c r="AE37" i="1"/>
  <c r="AD37" i="1"/>
  <c r="AC37" i="1"/>
  <c r="AF37" i="1" l="1"/>
  <c r="AF36" i="1"/>
  <c r="AF26" i="1"/>
  <c r="AI20" i="1"/>
  <c r="AF17" i="1"/>
  <c r="AF13" i="1"/>
  <c r="AF12" i="1"/>
  <c r="AJ12" i="1" s="1"/>
  <c r="AG11" i="1"/>
  <c r="AB38" i="1"/>
  <c r="AG16" i="1"/>
  <c r="AH16" i="1"/>
  <c r="AI16" i="1"/>
  <c r="AJ16" i="1"/>
  <c r="AG18" i="1"/>
  <c r="AH18" i="1"/>
  <c r="AF19" i="1"/>
  <c r="AG19" i="1"/>
  <c r="AH19" i="1"/>
  <c r="AI19" i="1"/>
  <c r="AG21" i="1"/>
  <c r="AH21" i="1"/>
  <c r="AI21" i="1"/>
  <c r="AJ21" i="1"/>
  <c r="AI17" i="1" l="1"/>
  <c r="P37" i="1" s="1"/>
  <c r="AJ17" i="1"/>
  <c r="Q37" i="1" s="1"/>
  <c r="AG8" i="1"/>
  <c r="AC50" i="1"/>
  <c r="AE50" i="1"/>
  <c r="AG43" i="1"/>
  <c r="AH43" i="1"/>
  <c r="AF18" i="1"/>
  <c r="AH15" i="1"/>
  <c r="AF15" i="1"/>
  <c r="AF38" i="1"/>
  <c r="AG15" i="1"/>
  <c r="AF44" i="1"/>
  <c r="AJ13" i="1"/>
  <c r="AI8" i="1"/>
  <c r="AD50" i="1"/>
  <c r="AJ8" i="1"/>
  <c r="AI26" i="1"/>
  <c r="AH17" i="1"/>
  <c r="AH8" i="1"/>
  <c r="AH13" i="1"/>
  <c r="AI13" i="1"/>
  <c r="AG26" i="1"/>
  <c r="AG17" i="1"/>
  <c r="AH20" i="1"/>
  <c r="AI12" i="1"/>
  <c r="AH26" i="1"/>
  <c r="AG20" i="1"/>
  <c r="AH12" i="1"/>
  <c r="AG13" i="1"/>
  <c r="AG12" i="1"/>
  <c r="AJ26" i="1"/>
  <c r="AJ11" i="1"/>
  <c r="AI11" i="1"/>
  <c r="AJ20" i="1"/>
  <c r="AH11" i="1"/>
  <c r="AJ18" i="1" l="1"/>
  <c r="AI18" i="1"/>
  <c r="N36" i="1"/>
  <c r="P36" i="1"/>
  <c r="Q36" i="1"/>
  <c r="Q38" i="1" s="1"/>
  <c r="AC51" i="1"/>
  <c r="AC27" i="1"/>
  <c r="O36" i="1"/>
  <c r="O37" i="1"/>
  <c r="N37" i="1"/>
  <c r="AH50" i="1"/>
  <c r="AB50" i="1"/>
  <c r="AB27" i="1" s="1"/>
  <c r="AG27" i="1"/>
  <c r="AH27" i="1"/>
  <c r="AG29" i="1" s="1"/>
  <c r="P31" i="1" s="1"/>
  <c r="AD51" i="1"/>
  <c r="AD27" i="1"/>
  <c r="AE51" i="1"/>
  <c r="AE27" i="1"/>
  <c r="AF33" i="1"/>
  <c r="A45" i="1"/>
  <c r="P26" i="1" l="1"/>
  <c r="P23" i="1"/>
  <c r="N38" i="1"/>
  <c r="P28" i="1"/>
  <c r="P29" i="1"/>
  <c r="O38" i="1"/>
  <c r="P38" i="1"/>
  <c r="AF50" i="1"/>
  <c r="AB51" i="1"/>
  <c r="AJ15" i="1"/>
  <c r="AJ27" i="1" s="1"/>
  <c r="AI15" i="1"/>
  <c r="AI27" i="1" s="1"/>
  <c r="P13" i="1" l="1"/>
  <c r="P15" i="1" s="1"/>
</calcChain>
</file>

<file path=xl/sharedStrings.xml><?xml version="1.0" encoding="utf-8"?>
<sst xmlns="http://schemas.openxmlformats.org/spreadsheetml/2006/main" count="310" uniqueCount="167">
  <si>
    <t>Projekt</t>
  </si>
  <si>
    <t>Name</t>
  </si>
  <si>
    <t>Datum</t>
  </si>
  <si>
    <t>Anforderungen Batteriebetrieb</t>
  </si>
  <si>
    <t>min</t>
  </si>
  <si>
    <t>%</t>
  </si>
  <si>
    <t>W</t>
  </si>
  <si>
    <t>mA</t>
  </si>
  <si>
    <t>Gerät</t>
  </si>
  <si>
    <t>Bezeichnung</t>
  </si>
  <si>
    <t>Benötigte Batteriekapazität [Ah]</t>
  </si>
  <si>
    <t>Gesamt [Ah]</t>
  </si>
  <si>
    <t>Netzstrom [mA]</t>
  </si>
  <si>
    <t>Standby</t>
  </si>
  <si>
    <t>Normal</t>
  </si>
  <si>
    <t>Sprache</t>
  </si>
  <si>
    <t>Alarm</t>
  </si>
  <si>
    <t>Einzel</t>
  </si>
  <si>
    <t>Gesamt</t>
  </si>
  <si>
    <t>PVA-4CR12</t>
  </si>
  <si>
    <t>Controller</t>
  </si>
  <si>
    <t>OM-1</t>
  </si>
  <si>
    <t>LT-802GBTME</t>
  </si>
  <si>
    <t>PVA-4R24</t>
  </si>
  <si>
    <t>PVA-2P500</t>
  </si>
  <si>
    <t>PLN-24CH12</t>
  </si>
  <si>
    <t>PVA-15CST</t>
  </si>
  <si>
    <t>PVA-20CSE</t>
  </si>
  <si>
    <t>Verstärker 2 X 500 W</t>
  </si>
  <si>
    <t>Akkuladegerät 24 V/12 A</t>
  </si>
  <si>
    <t>Sprechstelle</t>
  </si>
  <si>
    <t>Sprechstellenerweiterung</t>
  </si>
  <si>
    <t>Single device current [mA]</t>
  </si>
  <si>
    <t>All device current [mA]</t>
  </si>
  <si>
    <t>Speech (max)</t>
  </si>
  <si>
    <t>Alarm (max)</t>
  </si>
  <si>
    <t>Quantity</t>
  </si>
  <si>
    <t>EOL Loudspeaker load</t>
  </si>
  <si>
    <t>Loudspeaker load</t>
  </si>
  <si>
    <t>Without PVA-2P500 and PLN-24CH12 (230V)</t>
  </si>
  <si>
    <t xml:space="preserve">Standby </t>
  </si>
  <si>
    <t>Steuerausgänge</t>
  </si>
  <si>
    <t>Steuerausgänge HP OUT</t>
  </si>
  <si>
    <t>OMNEO Interfacemodul</t>
  </si>
  <si>
    <t>Ethernet Switch</t>
  </si>
  <si>
    <t>24 Zonen Router</t>
  </si>
  <si>
    <t>Strom [A]</t>
  </si>
  <si>
    <t>Ah</t>
  </si>
  <si>
    <t>A</t>
  </si>
  <si>
    <t>Netzstrom bei 230 V AC (Alarmbetrieb und maximale Batterieaufladung)</t>
  </si>
  <si>
    <t>Netzstrom bei 115 V AC (Alarmbetrieb und maximale Batterieaufladung)</t>
  </si>
  <si>
    <t>Maximaler Batteriestrom:</t>
  </si>
  <si>
    <t>Benötigte Batteriekapazität inkl. Sicherheitsfaktor:</t>
  </si>
  <si>
    <t>Maximaler DC-Strom aller DC-Verbraucher (ohne Verstärker):</t>
  </si>
  <si>
    <t>Batterieaufladezeit</t>
  </si>
  <si>
    <t>Batteriekapazität</t>
  </si>
  <si>
    <t>h</t>
  </si>
  <si>
    <t>Aufladezeit auf 90 % der Batteriekapazität (nach DIN VDE 0833-4 max. 24 h)</t>
  </si>
  <si>
    <t>Alarmton</t>
  </si>
  <si>
    <t>Systemverlustleistung</t>
  </si>
  <si>
    <t>BTU/h</t>
  </si>
  <si>
    <t>Ruhezust.</t>
  </si>
  <si>
    <t>Control Out (max. 40 mA pro Steuerausgang)</t>
  </si>
  <si>
    <t>Control Out HP (6 Ausgänge mit insgesamt max. 200 mA)</t>
  </si>
  <si>
    <t>TT-MM-JJJJ</t>
  </si>
  <si>
    <t>Benötigte Batteriekapazität inkl. Sicherheitsfaktor bei                    
Überbrückungszeiten &lt; 24 h (gilt nur für Deutschland / DIN VDE 0833-2)</t>
  </si>
  <si>
    <t>Zusätzliche DC-Verbraucher (optional)</t>
  </si>
  <si>
    <t>Verlustleistung der 24 V DC versorgten Komponenten</t>
  </si>
  <si>
    <r>
      <t xml:space="preserve">Ruhezustand </t>
    </r>
    <r>
      <rPr>
        <sz val="10"/>
        <rFont val="Bosch Office Sans"/>
        <family val="2"/>
      </rPr>
      <t>(kein Audio)</t>
    </r>
  </si>
  <si>
    <r>
      <t xml:space="preserve">Sicherheitsfaktor </t>
    </r>
    <r>
      <rPr>
        <sz val="10"/>
        <color indexed="8"/>
        <rFont val="Bosch Office Sans"/>
        <family val="2"/>
      </rPr>
      <t>(Toleranz, Temperatur)</t>
    </r>
  </si>
  <si>
    <t>NAME</t>
  </si>
  <si>
    <t>Ruhe-zustand</t>
  </si>
  <si>
    <t>Passwort:</t>
  </si>
  <si>
    <t>JA</t>
  </si>
  <si>
    <t>NEIN</t>
  </si>
  <si>
    <r>
      <t>Sprache</t>
    </r>
    <r>
      <rPr>
        <sz val="10"/>
        <rFont val="Bosch Office Sans"/>
        <family val="2"/>
      </rPr>
      <t xml:space="preserve"> (-10 dB)</t>
    </r>
  </si>
  <si>
    <r>
      <t xml:space="preserve">Alarmton </t>
    </r>
    <r>
      <rPr>
        <sz val="10"/>
        <rFont val="Bosch Office Sans"/>
        <family val="2"/>
      </rPr>
      <t>(-3 dB)</t>
    </r>
  </si>
  <si>
    <t>HINWEIS: Bei fehlerhaften Eingaben ändert sich die Zellenfarbe auf ROT.</t>
  </si>
  <si>
    <t>LS-Last Gesamt</t>
  </si>
  <si>
    <t>LS-Last EOL</t>
  </si>
  <si>
    <t>Contrl Out HP</t>
  </si>
  <si>
    <t>Control Out</t>
  </si>
  <si>
    <t>Lautsprecherlast (Insgesamt, alle Lautsprecher) in W</t>
  </si>
  <si>
    <t>Lautsprecherlast bei Linien mit EOL-Überwachung in W</t>
  </si>
  <si>
    <t>Date</t>
  </si>
  <si>
    <t>Project</t>
  </si>
  <si>
    <t>DD-MM-YYYY</t>
  </si>
  <si>
    <t>Battery Operation Requirements</t>
  </si>
  <si>
    <t>Idle (no audio)</t>
  </si>
  <si>
    <t>Speech (-10 dB)</t>
  </si>
  <si>
    <t>Safety factor (tolerance, temperature)</t>
  </si>
  <si>
    <t>Optional "other" device</t>
  </si>
  <si>
    <t>Current consumption in standby mode</t>
  </si>
  <si>
    <t>Current consumption in idle mode</t>
  </si>
  <si>
    <t>Current consumption during speech</t>
  </si>
  <si>
    <t>Current consumption during alarm</t>
  </si>
  <si>
    <t>Alarm (-3 dB)</t>
  </si>
  <si>
    <t>Control Out HP (6 output in total max. 200 mA)</t>
  </si>
  <si>
    <t>OMNEO network module</t>
  </si>
  <si>
    <t>Ethernet switch</t>
  </si>
  <si>
    <t>24 zone router</t>
  </si>
  <si>
    <t>Control Out (max. 40 mA per control out)</t>
  </si>
  <si>
    <t>Power supply 24 V/12 A</t>
  </si>
  <si>
    <t>Amplifier 2 X 500 W</t>
  </si>
  <si>
    <t>Nominal power load, all speaker lines in W</t>
  </si>
  <si>
    <t>Nominal power load, EOL-monitored speaker lines in W</t>
  </si>
  <si>
    <t>Call station</t>
  </si>
  <si>
    <t>Call station extension</t>
  </si>
  <si>
    <t>Required battery capacity incl. safety factor:</t>
  </si>
  <si>
    <t>Maximum battery current</t>
  </si>
  <si>
    <t>Mains current draw at 230 V AC (during alarm and maximum battery charging)</t>
  </si>
  <si>
    <t>Mains current draw at 115 V AC (during alarm and maximum battery charging)</t>
  </si>
  <si>
    <t xml:space="preserve">Max. DC current needed for all DC consumers except amplifiers </t>
  </si>
  <si>
    <t>Available charging current (PLN-24CH12 maximum 12 A)</t>
  </si>
  <si>
    <t>Charging time to 90 % battery capacity                                                                                       (according to the DIN VDE 0833-2 maximum 24 h)</t>
  </si>
  <si>
    <t>Battery (re)charging time</t>
  </si>
  <si>
    <t>Battery capacity</t>
  </si>
  <si>
    <t>System power loss</t>
  </si>
  <si>
    <t>NOTE: If entries are incorrect, the cell color changes to RED.</t>
  </si>
  <si>
    <t>YES</t>
  </si>
  <si>
    <t>NO</t>
  </si>
  <si>
    <t>Device</t>
  </si>
  <si>
    <t>Description</t>
  </si>
  <si>
    <t>Idle</t>
  </si>
  <si>
    <t>Speech</t>
  </si>
  <si>
    <t>PMX-4CR12</t>
  </si>
  <si>
    <t>PMX-4R24</t>
  </si>
  <si>
    <t>PMX-2P500</t>
  </si>
  <si>
    <t>PMX-15CST</t>
  </si>
  <si>
    <t>PMX-20CSE</t>
  </si>
  <si>
    <t>Verlustleistung der PMX-2P500 Verstärker</t>
  </si>
  <si>
    <t>Stromaufnahme bei Standby</t>
  </si>
  <si>
    <t>Stromaufnahme im Ruhezustand</t>
  </si>
  <si>
    <t>Stromaufnahme bei Sprache</t>
  </si>
  <si>
    <t>Stromaufnahme bei Alarmton</t>
  </si>
  <si>
    <t>Maximaler Ladestrom (PLN-24CH12, max. 12 A)</t>
  </si>
  <si>
    <t xml:space="preserve">Required battery capacity incl. safety factor if standby time &lt; 24 h                                       (applicable only for Germany according to the DIN VDE 0833-2)          </t>
  </si>
  <si>
    <t>DYNACORD</t>
  </si>
  <si>
    <t>Used / Quantity</t>
  </si>
  <si>
    <t>Verwendet / Anzahl</t>
  </si>
  <si>
    <t>PMX-15ECS</t>
  </si>
  <si>
    <t>Notfallsprechstelle</t>
  </si>
  <si>
    <t>Emergency call station</t>
  </si>
  <si>
    <t>PVA-15ECS</t>
  </si>
  <si>
    <t>Feuerwehrsprechstelle - ÖNORM</t>
  </si>
  <si>
    <t>PVA-FMP-AT</t>
  </si>
  <si>
    <t>Fire brigade call station - ÖNORM</t>
  </si>
  <si>
    <t>A PLN-24CH12 can supply a maximum of 6 PMX-2P500 power amplifiers!</t>
  </si>
  <si>
    <t>Ein PLN-24CH12 kann maximal 6 PMX-2P500 Endstufen versorgen!</t>
  </si>
  <si>
    <t>A PLN-24CH12 only supports battery capacities up to 225 Ah!
Reduce the entered consumers!</t>
  </si>
  <si>
    <t>A PLN-24CH12 only supports battery capacities from 65 Ah up to 225 Ah!
Change your input accordingly!</t>
  </si>
  <si>
    <t>The available charging current of a PLN-24CH12 of 12 A has been exceeded! 
Change your entries accordingly!</t>
  </si>
  <si>
    <t>The maximum battery current of a PLN-24CH12 of 125A is exceeded! 
Reduce the entered consumers!</t>
  </si>
  <si>
    <t xml:space="preserve">Die Aufladezeit auf 90% der Batteriekapazität ist länger als 24 h! 
Reduzieren Sie die eingegebenen Verbraucher!
</t>
  </si>
  <si>
    <t>Der maximale Batteriestrom eines PLN-24CH12 von 125A wird überschritten! 
Reduzieren Sie die eingegebenen Verbraucher!</t>
  </si>
  <si>
    <t>Der maximale Ladestrom eines PLN-24CH12 von 12 A wurde überschritten! 
Ändern Sie Ihre Eingabe entsprechend!</t>
  </si>
  <si>
    <t>Ein PLN-24CH12 unterstützt nur Batteriekapazitäten von 65 Ah bis 225 Ah!
Ändern Sie Ihre Eingabe entsprechend.</t>
  </si>
  <si>
    <t>Ein PLN-24CH12 unterstützt nur Batteriekapazitäten bis maximal 225 Ah!
Reduzieren Sie die eingegebenen Verbraucher!</t>
  </si>
  <si>
    <t xml:space="preserve">The charging time to 90% of the battery capacity is longer than 24 h!
Reduce the entered consumers!
</t>
  </si>
  <si>
    <t xml:space="preserve">NOTE: The RED font entries are input fields and must be filled out according to the system requirements. </t>
  </si>
  <si>
    <t xml:space="preserve">HINWEIS: Die Einträge in der Schriftfarbe ROT sind Eingabefelder und müssen entsprechend den Systemanforderungen ausgefüllt werden. </t>
  </si>
  <si>
    <t>Power loss on of PMX-2P500</t>
  </si>
  <si>
    <r>
      <t xml:space="preserve">Mit dieser Tabelle kann die maximale Leistungsaufnahme eines PROMATRIX 6000 Systems aus einer Gleichspannungsversorgung ermittelt werden. Da die technischen Eigenschaften der auf dem Markt verfügbaren Batterien sehr unterschiedlich sind, darf die hier ermittelte Leistungsaufnahme nur als grober Richtwert für die Dimensionierung der Gleichspannungsversorgung verwendet werden. 
</t>
    </r>
    <r>
      <rPr>
        <b/>
        <sz val="12"/>
        <rFont val="Bosch Office Sans"/>
      </rPr>
      <t>Hinweis</t>
    </r>
    <r>
      <rPr>
        <sz val="12"/>
        <rFont val="Bosch Office Sans"/>
      </rPr>
      <t xml:space="preserve">
Die maximal zulässige Entladespannung der verwendeten Batterien muss beachtet werden.
</t>
    </r>
    <r>
      <rPr>
        <b/>
        <sz val="12"/>
        <rFont val="Bosch Office Sans"/>
      </rPr>
      <t>Haftungsausschluss</t>
    </r>
    <r>
      <rPr>
        <sz val="12"/>
        <rFont val="Bosch Office Sans"/>
      </rPr>
      <t xml:space="preserve">
Wir weisen ausdrücklich darauf hin, dass alle Angaben ohne Gewähr sind und jegliche Haftung durch fehlerhafte, unvollständige oder veraltete Informationen ausgeschlossen wird.  
</t>
    </r>
  </si>
  <si>
    <r>
      <t xml:space="preserve">This tool can calculate battery energy required for a given PROMATRIX 6000 system. Calculated results are to be used as reference values only because of the high variety of tolerances in the batteries from different suppliers.. 
</t>
    </r>
    <r>
      <rPr>
        <b/>
        <sz val="12"/>
        <rFont val="Bosch Office Sans"/>
      </rPr>
      <t>Special Note</t>
    </r>
    <r>
      <rPr>
        <sz val="12"/>
        <rFont val="Bosch Office Sans"/>
      </rPr>
      <t xml:space="preserve">
Maximum battery discharging current must be observed while it highly varies among different battery types.
</t>
    </r>
    <r>
      <rPr>
        <b/>
        <sz val="12"/>
        <rFont val="Bosch Office Sans"/>
      </rPr>
      <t>Exclusion of liability</t>
    </r>
    <r>
      <rPr>
        <sz val="12"/>
        <rFont val="Bosch Office Sans"/>
      </rPr>
      <t xml:space="preserve">
Bosch accepts no liability whatsoever with regard to direct and/or indirect, immaterial or consequential damage, including loss of profit (even if Bosch is informed of the possibility of this damage),  that is in any the way the result of this power calculation tool.</t>
    </r>
    <r>
      <rPr>
        <sz val="12"/>
        <color theme="1"/>
        <rFont val="Bosch Office Sans"/>
      </rPr>
      <t xml:space="preserve">
</t>
    </r>
  </si>
  <si>
    <t>Power loss calculation 
(heat dissipation within the rack)</t>
  </si>
  <si>
    <t>Power loss on of 24 V DC Devices</t>
  </si>
  <si>
    <t>Berechnung der Verlustleistung 
(Wärmeabgabe im Schrank)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</si>
</sst>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34" x14ac:knownFonts="1">
    <font>
      <sz val="10"/>
      <color theme="1"/>
      <name val="Arial"/>
      <family val="2"/>
    </font>
    <font>
      <i/>
      <sz val="10"/>
      <name val="Bosch Office Sans"/>
      <family val="2"/>
    </font>
    <font>
      <sz val="10"/>
      <name val="Bosch Office Sans"/>
      <family val="2"/>
    </font>
    <font>
      <sz val="10"/>
      <name val="Arial"/>
      <family val="2"/>
    </font>
    <font>
      <b/>
      <sz val="14"/>
      <color theme="1"/>
      <name val="Bosch Office Sans"/>
    </font>
    <font>
      <b/>
      <sz val="14"/>
      <color rgb="FFFF0000"/>
      <name val="Bosch Office Sans"/>
    </font>
    <font>
      <sz val="10"/>
      <name val="Bosch Office Sans"/>
    </font>
    <font>
      <b/>
      <sz val="10"/>
      <name val="Bosch Office Sans"/>
    </font>
    <font>
      <b/>
      <sz val="10"/>
      <name val="Bosch Office Sans"/>
      <family val="2"/>
    </font>
    <font>
      <sz val="12"/>
      <color theme="1"/>
      <name val="Bosch Office Sans"/>
    </font>
    <font>
      <b/>
      <sz val="12"/>
      <name val="Bosch Office Sans"/>
    </font>
    <font>
      <b/>
      <u/>
      <sz val="12"/>
      <name val="Bosch Office Sans"/>
    </font>
    <font>
      <sz val="12"/>
      <name val="Bosch Office Sans"/>
    </font>
    <font>
      <sz val="11"/>
      <color theme="1"/>
      <name val="Bosch Office Sans"/>
    </font>
    <font>
      <sz val="11"/>
      <color theme="1"/>
      <name val="Arial"/>
      <family val="2"/>
    </font>
    <font>
      <b/>
      <sz val="11"/>
      <color theme="0"/>
      <name val="Bosch Office Sans"/>
    </font>
    <font>
      <sz val="13"/>
      <name val="Bosch Office Sans"/>
    </font>
    <font>
      <sz val="10"/>
      <color theme="1"/>
      <name val="Bosch Office Sans"/>
    </font>
    <font>
      <b/>
      <sz val="10"/>
      <color rgb="FFFF0000"/>
      <name val="Bosch Office Sans"/>
    </font>
    <font>
      <b/>
      <sz val="10"/>
      <color theme="0"/>
      <name val="Bosch Office Sans"/>
      <family val="2"/>
    </font>
    <font>
      <b/>
      <sz val="12"/>
      <color theme="0"/>
      <name val="Bosch Office Sans"/>
      <family val="2"/>
    </font>
    <font>
      <b/>
      <sz val="10"/>
      <color indexed="10"/>
      <name val="Bosch Office Sans"/>
      <family val="2"/>
    </font>
    <font>
      <b/>
      <sz val="10"/>
      <color indexed="8"/>
      <name val="Bosch Office Sans"/>
      <family val="2"/>
    </font>
    <font>
      <sz val="10"/>
      <color indexed="8"/>
      <name val="Bosch Office Sans"/>
      <family val="2"/>
    </font>
    <font>
      <b/>
      <sz val="10"/>
      <color rgb="FFFF0000"/>
      <name val="Bosch Office Sans"/>
      <family val="2"/>
    </font>
    <font>
      <sz val="12"/>
      <color theme="1"/>
      <name val="Arial"/>
      <family val="2"/>
    </font>
    <font>
      <b/>
      <sz val="10"/>
      <color theme="0"/>
      <name val="Bosch Office Sans"/>
    </font>
    <font>
      <i/>
      <sz val="10"/>
      <color indexed="8"/>
      <name val="Bosch Office Sans"/>
    </font>
    <font>
      <sz val="10"/>
      <color indexed="8"/>
      <name val="Bosch Office Sans"/>
    </font>
    <font>
      <b/>
      <sz val="10"/>
      <color indexed="10"/>
      <name val="Bosch Office Sans"/>
    </font>
    <font>
      <b/>
      <sz val="8"/>
      <color theme="0"/>
      <name val="Bosch Office Sans"/>
      <family val="2"/>
    </font>
    <font>
      <b/>
      <sz val="10"/>
      <color rgb="FFB4B4B4"/>
      <name val="Bosch Office Sans"/>
      <family val="2"/>
    </font>
    <font>
      <b/>
      <sz val="13"/>
      <color rgb="FFFF0000"/>
      <name val="Bosch Office Sans"/>
      <family val="2"/>
    </font>
    <font>
      <b/>
      <sz val="13"/>
      <color theme="0"/>
      <name val="Bosch Office Sans"/>
      <family val="2"/>
    </font>
  </fonts>
  <fills count="13">
    <fill>
      <patternFill patternType="none"/>
    </fill>
    <fill>
      <patternFill patternType="gray125"/>
    </fill>
    <fill>
      <patternFill patternType="solid">
        <fgColor rgb="FF0E99D7"/>
        <bgColor indexed="64"/>
      </patternFill>
    </fill>
    <fill>
      <patternFill patternType="solid">
        <fgColor rgb="FFC3E5F5"/>
        <bgColor indexed="64"/>
      </patternFill>
    </fill>
    <fill>
      <patternFill patternType="solid">
        <fgColor rgb="FF86CCEB"/>
        <bgColor indexed="64"/>
      </patternFill>
    </fill>
    <fill>
      <patternFill patternType="lightGray">
        <bgColor rgb="FFC3E5F5"/>
      </patternFill>
    </fill>
    <fill>
      <patternFill patternType="lightGray">
        <bgColor rgb="FF86CCEB"/>
      </patternFill>
    </fill>
    <fill>
      <patternFill patternType="solid">
        <fgColor theme="1"/>
        <bgColor indexed="64"/>
      </patternFill>
    </fill>
    <fill>
      <patternFill patternType="solid">
        <fgColor rgb="FF1E87BE"/>
        <bgColor indexed="64"/>
      </patternFill>
    </fill>
    <fill>
      <patternFill patternType="solid">
        <fgColor rgb="FF555555"/>
        <bgColor indexed="64"/>
      </patternFill>
    </fill>
    <fill>
      <patternFill patternType="solid">
        <fgColor rgb="FFDCDCDC"/>
        <bgColor indexed="64"/>
      </patternFill>
    </fill>
    <fill>
      <patternFill patternType="solid">
        <fgColor rgb="FFB4B4B4"/>
        <bgColor indexed="64"/>
      </patternFill>
    </fill>
    <fill>
      <patternFill patternType="lightGray">
        <bgColor rgb="FFB4B4B4"/>
      </patternFill>
    </fill>
  </fills>
  <borders count="16">
    <border>
      <left/>
      <right/>
      <top/>
      <bottom/>
      <diagonal/>
    </border>
    <border>
      <left/>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s>
  <cellStyleXfs count="1">
    <xf numFmtId="0" fontId="0" fillId="0" borderId="0"/>
  </cellStyleXfs>
  <cellXfs count="264">
    <xf numFmtId="0" fontId="0" fillId="0" borderId="0" xfId="0"/>
    <xf numFmtId="0" fontId="3" fillId="0" borderId="0" xfId="0" applyFont="1" applyFill="1" applyBorder="1" applyProtection="1"/>
    <xf numFmtId="0" fontId="7" fillId="0" borderId="0" xfId="0" applyFont="1" applyFill="1" applyBorder="1" applyAlignment="1" applyProtection="1">
      <alignment horizontal="left" vertical="top" wrapText="1"/>
    </xf>
    <xf numFmtId="1"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6" fillId="0" borderId="0" xfId="0" applyFont="1" applyFill="1" applyBorder="1" applyProtection="1"/>
    <xf numFmtId="0" fontId="6" fillId="0" borderId="0" xfId="0"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165" fontId="7" fillId="0" borderId="0" xfId="0" applyNumberFormat="1" applyFont="1" applyFill="1" applyBorder="1" applyAlignment="1" applyProtection="1">
      <alignment horizontal="center"/>
    </xf>
    <xf numFmtId="165" fontId="11" fillId="0" borderId="0" xfId="0" applyNumberFormat="1" applyFont="1" applyFill="1" applyBorder="1" applyProtection="1"/>
    <xf numFmtId="0" fontId="8" fillId="0" borderId="0" xfId="0" applyFont="1" applyFill="1" applyBorder="1" applyAlignment="1" applyProtection="1">
      <alignment vertical="center" wrapText="1"/>
    </xf>
    <xf numFmtId="0" fontId="16" fillId="0" borderId="0" xfId="0" applyFont="1" applyFill="1" applyAlignment="1" applyProtection="1">
      <alignment wrapText="1"/>
    </xf>
    <xf numFmtId="0" fontId="12" fillId="0" borderId="0" xfId="0" applyFont="1" applyFill="1" applyAlignment="1" applyProtection="1">
      <alignmen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top" wrapText="1"/>
    </xf>
    <xf numFmtId="1" fontId="12" fillId="0" borderId="0" xfId="0" applyNumberFormat="1" applyFont="1" applyFill="1" applyBorder="1" applyProtection="1"/>
    <xf numFmtId="0" fontId="19" fillId="2" borderId="11" xfId="0" applyFont="1" applyFill="1" applyBorder="1" applyAlignment="1" applyProtection="1">
      <alignment horizontal="center" vertical="center" wrapText="1"/>
    </xf>
    <xf numFmtId="0" fontId="19" fillId="2" borderId="11" xfId="0" applyNumberFormat="1" applyFont="1" applyFill="1" applyBorder="1" applyAlignment="1" applyProtection="1">
      <alignment horizontal="center" vertical="center" wrapText="1"/>
    </xf>
    <xf numFmtId="165" fontId="17" fillId="4" borderId="11" xfId="0" applyNumberFormat="1" applyFont="1" applyFill="1" applyBorder="1" applyAlignment="1" applyProtection="1">
      <alignment horizontal="center" vertical="center"/>
    </xf>
    <xf numFmtId="165" fontId="17" fillId="3" borderId="11" xfId="0" applyNumberFormat="1" applyFont="1" applyFill="1" applyBorder="1" applyAlignment="1" applyProtection="1">
      <alignment horizontal="center" vertical="center"/>
    </xf>
    <xf numFmtId="165" fontId="26" fillId="2" borderId="11" xfId="0" applyNumberFormat="1" applyFont="1" applyFill="1" applyBorder="1" applyAlignment="1" applyProtection="1">
      <alignment horizontal="center" vertical="center"/>
    </xf>
    <xf numFmtId="1" fontId="26" fillId="2" borderId="11" xfId="0" applyNumberFormat="1" applyFont="1" applyFill="1" applyBorder="1" applyAlignment="1" applyProtection="1">
      <alignment horizontal="center" vertical="center"/>
    </xf>
    <xf numFmtId="0" fontId="0" fillId="0" borderId="0" xfId="0" applyProtection="1"/>
    <xf numFmtId="0" fontId="3" fillId="0" borderId="0" xfId="0" applyFont="1" applyFill="1" applyBorder="1" applyAlignment="1" applyProtection="1">
      <alignment horizontal="center" vertical="center"/>
    </xf>
    <xf numFmtId="0" fontId="0" fillId="0" borderId="0" xfId="0" applyFill="1" applyBorder="1" applyProtection="1"/>
    <xf numFmtId="1" fontId="17" fillId="4" borderId="11" xfId="0" applyNumberFormat="1" applyFont="1" applyFill="1" applyBorder="1" applyAlignment="1" applyProtection="1">
      <alignment horizontal="center" vertical="center"/>
    </xf>
    <xf numFmtId="1" fontId="17" fillId="3" borderId="11" xfId="0" applyNumberFormat="1" applyFont="1" applyFill="1" applyBorder="1" applyAlignment="1" applyProtection="1">
      <alignment horizontal="center" vertical="center"/>
    </xf>
    <xf numFmtId="0" fontId="3" fillId="0" borderId="0" xfId="0" applyFont="1" applyFill="1" applyProtection="1"/>
    <xf numFmtId="166" fontId="17" fillId="3" borderId="11" xfId="0" applyNumberFormat="1" applyFont="1" applyFill="1" applyBorder="1" applyAlignment="1" applyProtection="1">
      <alignment horizontal="center" vertical="center"/>
    </xf>
    <xf numFmtId="0" fontId="17" fillId="5" borderId="11" xfId="0" applyFont="1" applyFill="1" applyBorder="1" applyProtection="1"/>
    <xf numFmtId="1" fontId="17" fillId="5" borderId="11" xfId="0" applyNumberFormat="1" applyFont="1" applyFill="1" applyBorder="1" applyAlignment="1" applyProtection="1">
      <alignment horizontal="center" vertical="center"/>
    </xf>
    <xf numFmtId="0" fontId="0" fillId="2" borderId="11" xfId="0" applyFont="1" applyFill="1" applyBorder="1" applyProtection="1"/>
    <xf numFmtId="0" fontId="0" fillId="0" borderId="0" xfId="0" applyFont="1" applyProtection="1"/>
    <xf numFmtId="0" fontId="25" fillId="0" borderId="0" xfId="0" applyFont="1" applyFill="1" applyProtection="1"/>
    <xf numFmtId="0" fontId="13" fillId="0" borderId="14"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4" fillId="0" borderId="0" xfId="0" applyFont="1" applyProtection="1"/>
    <xf numFmtId="1" fontId="3" fillId="0" borderId="0" xfId="0" applyNumberFormat="1" applyFont="1" applyFill="1" applyProtection="1"/>
    <xf numFmtId="0" fontId="17" fillId="3" borderId="11" xfId="0" applyFont="1" applyFill="1" applyBorder="1" applyAlignment="1" applyProtection="1">
      <alignment horizontal="center" vertical="center"/>
    </xf>
    <xf numFmtId="0" fontId="17" fillId="6" borderId="11" xfId="0" applyFont="1" applyFill="1" applyBorder="1" applyProtection="1"/>
    <xf numFmtId="0" fontId="22" fillId="0" borderId="0" xfId="0" applyFont="1" applyFill="1" applyBorder="1" applyAlignment="1" applyProtection="1">
      <alignment vertical="center"/>
    </xf>
    <xf numFmtId="0" fontId="24" fillId="0" borderId="0" xfId="0" applyFont="1" applyFill="1" applyBorder="1" applyAlignment="1" applyProtection="1">
      <alignment horizontal="center" vertical="center" wrapText="1"/>
    </xf>
    <xf numFmtId="165" fontId="17" fillId="5" borderId="11" xfId="0" applyNumberFormat="1"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wrapText="1"/>
    </xf>
    <xf numFmtId="0" fontId="0" fillId="0" borderId="0" xfId="0" applyFill="1" applyAlignment="1" applyProtection="1">
      <alignment horizontal="left" indent="1"/>
    </xf>
    <xf numFmtId="0" fontId="0" fillId="0" borderId="0" xfId="0" applyFill="1" applyBorder="1" applyAlignment="1" applyProtection="1">
      <alignment horizontal="left" indent="1"/>
    </xf>
    <xf numFmtId="0" fontId="26" fillId="0" borderId="0" xfId="0" applyFont="1" applyFill="1" applyBorder="1" applyAlignment="1" applyProtection="1">
      <alignment vertical="center"/>
    </xf>
    <xf numFmtId="0" fontId="26" fillId="0" borderId="0" xfId="0" applyFont="1" applyFill="1" applyBorder="1" applyAlignment="1" applyProtection="1">
      <alignment horizontal="left" vertical="center" wrapText="1" indent="1"/>
    </xf>
    <xf numFmtId="0" fontId="26" fillId="0" borderId="0" xfId="0" applyFont="1" applyFill="1" applyBorder="1" applyAlignment="1" applyProtection="1">
      <alignment horizontal="center" vertical="center"/>
    </xf>
    <xf numFmtId="164" fontId="26" fillId="0" borderId="0" xfId="0" applyNumberFormat="1" applyFont="1" applyFill="1" applyBorder="1" applyAlignment="1" applyProtection="1">
      <alignment horizontal="left" vertical="center" wrapText="1" indent="1"/>
    </xf>
    <xf numFmtId="0" fontId="22" fillId="4" borderId="11" xfId="0" applyFont="1" applyFill="1" applyBorder="1" applyAlignment="1" applyProtection="1">
      <alignment vertical="center" wrapText="1"/>
    </xf>
    <xf numFmtId="0" fontId="22" fillId="3" borderId="11" xfId="0" applyFont="1" applyFill="1" applyBorder="1" applyAlignment="1" applyProtection="1">
      <alignment vertical="center"/>
    </xf>
    <xf numFmtId="0" fontId="22" fillId="4" borderId="11" xfId="0" applyFont="1" applyFill="1" applyBorder="1" applyAlignment="1" applyProtection="1">
      <alignment vertical="center"/>
    </xf>
    <xf numFmtId="0" fontId="22" fillId="3" borderId="11" xfId="0" applyFont="1" applyFill="1" applyBorder="1" applyAlignment="1" applyProtection="1">
      <alignment vertical="center" wrapText="1"/>
    </xf>
    <xf numFmtId="0" fontId="8" fillId="3" borderId="11" xfId="0" applyFont="1" applyFill="1" applyBorder="1" applyAlignment="1" applyProtection="1">
      <alignment vertical="center" wrapText="1"/>
    </xf>
    <xf numFmtId="0" fontId="8" fillId="4" borderId="11"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7" fillId="4" borderId="0" xfId="0" applyFont="1" applyFill="1" applyProtection="1"/>
    <xf numFmtId="0" fontId="7" fillId="3" borderId="0" xfId="0" applyFont="1" applyFill="1" applyProtection="1"/>
    <xf numFmtId="0" fontId="3" fillId="5" borderId="0" xfId="0" applyFont="1" applyFill="1" applyProtection="1"/>
    <xf numFmtId="0" fontId="26" fillId="2" borderId="4" xfId="0" applyFont="1" applyFill="1" applyBorder="1" applyAlignment="1" applyProtection="1">
      <alignment vertical="center"/>
    </xf>
    <xf numFmtId="0" fontId="26" fillId="0" borderId="0" xfId="0" applyFont="1" applyFill="1" applyBorder="1" applyAlignment="1" applyProtection="1">
      <alignment horizontal="left" vertical="center" wrapText="1" inden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top" wrapText="1"/>
    </xf>
    <xf numFmtId="0" fontId="0" fillId="0" borderId="0" xfId="0" applyFill="1" applyProtection="1"/>
    <xf numFmtId="0" fontId="26" fillId="0" borderId="0" xfId="0" applyFont="1" applyFill="1" applyBorder="1" applyAlignment="1" applyProtection="1">
      <alignment vertical="center" wrapText="1"/>
    </xf>
    <xf numFmtId="0" fontId="0" fillId="0" borderId="0" xfId="0" applyBorder="1" applyProtection="1"/>
    <xf numFmtId="0" fontId="0" fillId="0" borderId="0" xfId="0" applyAlignment="1" applyProtection="1"/>
    <xf numFmtId="0" fontId="0" fillId="0" borderId="0" xfId="0" applyAlignment="1" applyProtection="1">
      <alignment horizontal="right"/>
    </xf>
    <xf numFmtId="164" fontId="30" fillId="2" borderId="11" xfId="0" applyNumberFormat="1" applyFont="1" applyFill="1" applyBorder="1" applyAlignment="1" applyProtection="1">
      <alignment horizontal="center" vertical="center" wrapText="1"/>
    </xf>
    <xf numFmtId="0" fontId="0" fillId="0" borderId="0" xfId="0" quotePrefix="1" applyProtection="1"/>
    <xf numFmtId="1" fontId="21" fillId="10" borderId="4" xfId="0" applyNumberFormat="1" applyFont="1" applyFill="1" applyBorder="1" applyAlignment="1" applyProtection="1">
      <alignment horizontal="center" vertical="center"/>
      <protection locked="0"/>
    </xf>
    <xf numFmtId="0" fontId="2" fillId="10" borderId="5" xfId="0" applyFont="1" applyFill="1" applyBorder="1" applyAlignment="1" applyProtection="1">
      <alignment vertical="center" wrapText="1"/>
    </xf>
    <xf numFmtId="164" fontId="21" fillId="10" borderId="4" xfId="0" applyNumberFormat="1" applyFont="1" applyFill="1" applyBorder="1" applyAlignment="1" applyProtection="1">
      <alignment horizontal="center" vertical="center"/>
      <protection locked="0"/>
    </xf>
    <xf numFmtId="0" fontId="23" fillId="10" borderId="5" xfId="0" applyFont="1" applyFill="1" applyBorder="1" applyAlignment="1" applyProtection="1">
      <alignment vertical="center"/>
    </xf>
    <xf numFmtId="1" fontId="24" fillId="10" borderId="4" xfId="0" applyNumberFormat="1" applyFont="1" applyFill="1" applyBorder="1" applyAlignment="1" applyProtection="1">
      <alignment horizontal="center" vertical="center"/>
      <protection locked="0"/>
    </xf>
    <xf numFmtId="0" fontId="29" fillId="10" borderId="11" xfId="0" applyFont="1" applyFill="1" applyBorder="1" applyAlignment="1" applyProtection="1">
      <alignment horizontal="center" vertical="center"/>
      <protection locked="0"/>
    </xf>
    <xf numFmtId="0" fontId="18" fillId="10" borderId="11" xfId="0" applyFont="1" applyFill="1" applyBorder="1" applyAlignment="1" applyProtection="1">
      <alignment horizontal="center" vertical="center"/>
      <protection locked="0"/>
    </xf>
    <xf numFmtId="0" fontId="18" fillId="10" borderId="4" xfId="0" applyFont="1" applyFill="1" applyBorder="1" applyAlignment="1" applyProtection="1">
      <alignment horizontal="center" vertical="center"/>
      <protection locked="0"/>
    </xf>
    <xf numFmtId="164" fontId="2" fillId="10" borderId="4" xfId="0" applyNumberFormat="1" applyFont="1" applyFill="1" applyBorder="1" applyAlignment="1" applyProtection="1">
      <alignment horizontal="center" vertical="center"/>
    </xf>
    <xf numFmtId="0" fontId="2" fillId="10" borderId="5" xfId="0" applyFont="1" applyFill="1" applyBorder="1" applyAlignment="1" applyProtection="1">
      <alignment horizontal="left" vertical="center"/>
    </xf>
    <xf numFmtId="0" fontId="28" fillId="10" borderId="5" xfId="0" applyFont="1" applyFill="1" applyBorder="1" applyAlignment="1" applyProtection="1">
      <alignment horizontal="center" vertical="center"/>
    </xf>
    <xf numFmtId="1" fontId="6" fillId="10" borderId="4" xfId="0" applyNumberFormat="1" applyFont="1" applyFill="1" applyBorder="1" applyAlignment="1" applyProtection="1">
      <alignment horizontal="center" vertical="center"/>
    </xf>
    <xf numFmtId="1" fontId="6" fillId="10" borderId="11" xfId="0" applyNumberFormat="1" applyFont="1" applyFill="1" applyBorder="1" applyAlignment="1" applyProtection="1">
      <alignment horizontal="center" vertical="center"/>
    </xf>
    <xf numFmtId="1" fontId="21" fillId="11" borderId="4" xfId="0" applyNumberFormat="1" applyFont="1" applyFill="1" applyBorder="1" applyAlignment="1" applyProtection="1">
      <alignment horizontal="center" vertical="center"/>
      <protection locked="0"/>
    </xf>
    <xf numFmtId="0" fontId="2" fillId="11" borderId="5" xfId="0" applyFont="1" applyFill="1" applyBorder="1" applyAlignment="1" applyProtection="1">
      <alignment vertical="center" wrapText="1"/>
    </xf>
    <xf numFmtId="0" fontId="2" fillId="11" borderId="5" xfId="0" applyFont="1" applyFill="1" applyBorder="1" applyAlignment="1" applyProtection="1">
      <alignment vertical="center"/>
    </xf>
    <xf numFmtId="1" fontId="24" fillId="11" borderId="4" xfId="0" applyNumberFormat="1" applyFont="1" applyFill="1" applyBorder="1" applyAlignment="1" applyProtection="1">
      <alignment horizontal="center" vertical="center"/>
      <protection locked="0"/>
    </xf>
    <xf numFmtId="0" fontId="23" fillId="11" borderId="5" xfId="0" applyFont="1" applyFill="1" applyBorder="1" applyAlignment="1" applyProtection="1">
      <alignment vertical="center"/>
    </xf>
    <xf numFmtId="0" fontId="18" fillId="11" borderId="11" xfId="0" applyFont="1" applyFill="1" applyBorder="1" applyAlignment="1" applyProtection="1">
      <alignment horizontal="center" vertical="center"/>
      <protection locked="0"/>
    </xf>
    <xf numFmtId="0" fontId="18" fillId="12" borderId="4" xfId="0" applyFont="1" applyFill="1" applyBorder="1" applyAlignment="1" applyProtection="1">
      <alignment horizontal="center" vertical="center"/>
    </xf>
    <xf numFmtId="0" fontId="18" fillId="11" borderId="4" xfId="0" applyFont="1" applyFill="1" applyBorder="1" applyAlignment="1" applyProtection="1">
      <alignment horizontal="center" vertical="center"/>
      <protection locked="0"/>
    </xf>
    <xf numFmtId="164" fontId="2" fillId="11" borderId="4" xfId="0" applyNumberFormat="1" applyFont="1" applyFill="1" applyBorder="1" applyAlignment="1" applyProtection="1">
      <alignment horizontal="center" vertical="center"/>
    </xf>
    <xf numFmtId="0" fontId="2" fillId="11" borderId="5" xfId="0" applyFont="1" applyFill="1" applyBorder="1" applyAlignment="1" applyProtection="1">
      <alignment horizontal="left" vertical="center"/>
    </xf>
    <xf numFmtId="0" fontId="28" fillId="11" borderId="5" xfId="0" applyFont="1" applyFill="1" applyBorder="1" applyAlignment="1" applyProtection="1">
      <alignment horizontal="center" vertical="center"/>
    </xf>
    <xf numFmtId="1" fontId="6" fillId="11" borderId="4" xfId="0" applyNumberFormat="1" applyFont="1" applyFill="1" applyBorder="1" applyAlignment="1" applyProtection="1">
      <alignment horizontal="center" vertical="center"/>
    </xf>
    <xf numFmtId="1" fontId="6" fillId="11" borderId="11" xfId="0" applyNumberFormat="1" applyFont="1" applyFill="1" applyBorder="1" applyAlignment="1" applyProtection="1">
      <alignment horizontal="center" vertical="center"/>
    </xf>
    <xf numFmtId="0" fontId="0" fillId="7" borderId="0" xfId="0" applyFill="1" applyProtection="1"/>
    <xf numFmtId="0" fontId="0" fillId="0" borderId="0" xfId="0" applyFill="1" applyAlignment="1" applyProtection="1">
      <alignment horizontal="left"/>
    </xf>
    <xf numFmtId="0" fontId="26" fillId="0" borderId="14"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0" fillId="0" borderId="0" xfId="0" applyFill="1" applyBorder="1" applyAlignment="1">
      <alignment wrapText="1"/>
    </xf>
    <xf numFmtId="0" fontId="26" fillId="0" borderId="2" xfId="0" applyFont="1" applyFill="1" applyBorder="1" applyAlignment="1" applyProtection="1">
      <alignment horizontal="left" vertical="center" wrapText="1"/>
    </xf>
    <xf numFmtId="0" fontId="26" fillId="0" borderId="7" xfId="0" applyFont="1" applyFill="1" applyBorder="1" applyAlignment="1" applyProtection="1">
      <alignment horizontal="left" vertical="center" wrapText="1"/>
    </xf>
    <xf numFmtId="0" fontId="0" fillId="0" borderId="7" xfId="0" applyFill="1" applyBorder="1" applyAlignment="1">
      <alignment wrapText="1"/>
    </xf>
    <xf numFmtId="0" fontId="26" fillId="0" borderId="10"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0" fillId="0" borderId="8" xfId="0" applyFill="1" applyBorder="1" applyAlignment="1">
      <alignment wrapText="1"/>
    </xf>
    <xf numFmtId="164" fontId="26" fillId="0" borderId="14" xfId="0" applyNumberFormat="1" applyFont="1" applyFill="1" applyBorder="1" applyAlignment="1" applyProtection="1">
      <alignment horizontal="left" vertical="top" wrapText="1"/>
    </xf>
    <xf numFmtId="164" fontId="26" fillId="0" borderId="0" xfId="0" applyNumberFormat="1" applyFont="1" applyFill="1" applyBorder="1" applyAlignment="1" applyProtection="1">
      <alignment horizontal="left" vertical="top" wrapText="1"/>
    </xf>
    <xf numFmtId="0" fontId="0" fillId="0" borderId="0" xfId="0" applyFill="1" applyAlignment="1">
      <alignment vertical="top" wrapText="1"/>
    </xf>
    <xf numFmtId="164" fontId="26" fillId="0" borderId="14" xfId="0" applyNumberFormat="1" applyFont="1" applyFill="1" applyBorder="1" applyAlignment="1" applyProtection="1">
      <alignment horizontal="left" vertical="center" wrapText="1"/>
    </xf>
    <xf numFmtId="164" fontId="26" fillId="0" borderId="0" xfId="0" applyNumberFormat="1" applyFont="1" applyFill="1" applyBorder="1" applyAlignment="1" applyProtection="1">
      <alignment horizontal="left" vertical="center" wrapText="1"/>
    </xf>
    <xf numFmtId="0" fontId="0" fillId="0" borderId="0" xfId="0" applyFill="1" applyAlignment="1">
      <alignment wrapText="1"/>
    </xf>
    <xf numFmtId="0" fontId="12" fillId="0" borderId="0" xfId="0" applyFont="1" applyFill="1" applyAlignment="1" applyProtection="1">
      <alignment horizontal="left" vertical="top" wrapText="1"/>
    </xf>
    <xf numFmtId="0" fontId="32" fillId="0" borderId="0" xfId="0" applyFont="1" applyFill="1" applyBorder="1" applyAlignment="1" applyProtection="1">
      <alignment horizontal="left" vertical="center" wrapText="1" indent="6"/>
    </xf>
    <xf numFmtId="0" fontId="33" fillId="0" borderId="0" xfId="0" applyFont="1" applyFill="1" applyBorder="1" applyAlignment="1" applyProtection="1">
      <alignment horizontal="left" vertical="center" wrapText="1" indent="1"/>
    </xf>
    <xf numFmtId="0" fontId="8" fillId="10" borderId="11" xfId="0" applyFont="1" applyFill="1" applyBorder="1" applyAlignment="1" applyProtection="1">
      <alignment horizontal="left" vertical="center" wrapText="1" indent="1"/>
    </xf>
    <xf numFmtId="0" fontId="22" fillId="10" borderId="11" xfId="0" applyFont="1" applyFill="1" applyBorder="1" applyAlignment="1" applyProtection="1">
      <alignment horizontal="left" vertical="center" indent="1"/>
    </xf>
    <xf numFmtId="0" fontId="22" fillId="11" borderId="11" xfId="0" applyFont="1" applyFill="1" applyBorder="1" applyAlignment="1" applyProtection="1">
      <alignment horizontal="left" vertical="center" indent="1"/>
    </xf>
    <xf numFmtId="0" fontId="1" fillId="11" borderId="4" xfId="0" applyFont="1" applyFill="1" applyBorder="1" applyAlignment="1" applyProtection="1">
      <alignment horizontal="left" vertical="center" indent="1"/>
    </xf>
    <xf numFmtId="0" fontId="1" fillId="11" borderId="6" xfId="0" applyFont="1" applyFill="1" applyBorder="1" applyAlignment="1" applyProtection="1">
      <alignment horizontal="left" vertical="center" indent="1"/>
    </xf>
    <xf numFmtId="0" fontId="1" fillId="11" borderId="5" xfId="0" applyFont="1" applyFill="1" applyBorder="1" applyAlignment="1" applyProtection="1">
      <alignment horizontal="left" vertical="center" indent="1"/>
    </xf>
    <xf numFmtId="0" fontId="22" fillId="11" borderId="11" xfId="0" applyFont="1" applyFill="1" applyBorder="1" applyAlignment="1" applyProtection="1">
      <alignment horizontal="left" vertical="center" wrapText="1" indent="1"/>
    </xf>
    <xf numFmtId="0" fontId="23" fillId="11" borderId="11" xfId="0" applyFont="1" applyFill="1" applyBorder="1" applyAlignment="1" applyProtection="1">
      <alignment horizontal="left" vertical="center" wrapText="1" indent="1"/>
    </xf>
    <xf numFmtId="0" fontId="2" fillId="10" borderId="11" xfId="0" applyFont="1" applyFill="1" applyBorder="1" applyAlignment="1" applyProtection="1">
      <alignment horizontal="left" vertical="center" wrapText="1" indent="1"/>
    </xf>
    <xf numFmtId="0" fontId="2" fillId="11" borderId="11" xfId="0" applyFont="1" applyFill="1" applyBorder="1" applyAlignment="1" applyProtection="1">
      <alignment horizontal="left" vertical="center" wrapText="1" indent="1"/>
    </xf>
    <xf numFmtId="0" fontId="8" fillId="11" borderId="11" xfId="0" applyFont="1" applyFill="1" applyBorder="1" applyAlignment="1" applyProtection="1">
      <alignment horizontal="left" vertical="center" wrapText="1" indent="1"/>
    </xf>
    <xf numFmtId="0" fontId="26" fillId="8" borderId="9" xfId="0" applyFont="1" applyFill="1" applyBorder="1" applyAlignment="1" applyProtection="1">
      <alignment horizontal="center" vertical="center" wrapText="1"/>
    </xf>
    <xf numFmtId="0" fontId="26" fillId="8" borderId="13" xfId="0" applyFont="1" applyFill="1" applyBorder="1" applyAlignment="1" applyProtection="1">
      <alignment horizontal="center" vertical="center" wrapText="1"/>
    </xf>
    <xf numFmtId="0" fontId="31" fillId="11" borderId="4" xfId="0" applyFont="1" applyFill="1" applyBorder="1" applyAlignment="1" applyProtection="1">
      <alignment horizontal="left" vertical="center" wrapText="1" indent="1"/>
    </xf>
    <xf numFmtId="0" fontId="31" fillId="11" borderId="6" xfId="0" applyFont="1" applyFill="1" applyBorder="1" applyAlignment="1" applyProtection="1">
      <alignment horizontal="left" vertical="center" wrapText="1" indent="1"/>
    </xf>
    <xf numFmtId="0" fontId="31" fillId="11" borderId="5" xfId="0" applyFont="1" applyFill="1" applyBorder="1" applyAlignment="1" applyProtection="1">
      <alignment horizontal="left" vertical="center" wrapText="1" indent="1"/>
    </xf>
    <xf numFmtId="0" fontId="27" fillId="10" borderId="4" xfId="0" applyFont="1" applyFill="1" applyBorder="1" applyAlignment="1" applyProtection="1">
      <alignment horizontal="left" vertical="center" wrapText="1" indent="1"/>
    </xf>
    <xf numFmtId="0" fontId="27" fillId="10" borderId="6" xfId="0" applyFont="1" applyFill="1" applyBorder="1" applyAlignment="1" applyProtection="1">
      <alignment horizontal="left" vertical="center" wrapText="1" indent="1"/>
    </xf>
    <xf numFmtId="0" fontId="27" fillId="10" borderId="5" xfId="0" applyFont="1" applyFill="1" applyBorder="1" applyAlignment="1" applyProtection="1">
      <alignment horizontal="left" vertical="center" wrapText="1" indent="1"/>
    </xf>
    <xf numFmtId="0" fontId="26" fillId="9" borderId="10" xfId="0" applyFont="1" applyFill="1" applyBorder="1" applyAlignment="1" applyProtection="1">
      <alignment horizontal="left" vertical="center" indent="1"/>
    </xf>
    <xf numFmtId="0" fontId="26" fillId="9" borderId="8" xfId="0" applyFont="1" applyFill="1" applyBorder="1" applyAlignment="1" applyProtection="1">
      <alignment horizontal="left" vertical="center" indent="1"/>
    </xf>
    <xf numFmtId="0" fontId="26" fillId="9" borderId="12" xfId="0" applyFont="1" applyFill="1" applyBorder="1" applyAlignment="1" applyProtection="1">
      <alignment horizontal="left" vertical="center" indent="1"/>
    </xf>
    <xf numFmtId="0" fontId="26" fillId="9" borderId="2" xfId="0" applyFont="1" applyFill="1" applyBorder="1" applyAlignment="1" applyProtection="1">
      <alignment horizontal="left" vertical="center" indent="1"/>
    </xf>
    <xf numFmtId="0" fontId="26" fillId="9" borderId="7" xfId="0" applyFont="1" applyFill="1" applyBorder="1" applyAlignment="1" applyProtection="1">
      <alignment horizontal="left" vertical="center" indent="1"/>
    </xf>
    <xf numFmtId="0" fontId="26" fillId="9" borderId="3" xfId="0" applyFont="1" applyFill="1" applyBorder="1" applyAlignment="1" applyProtection="1">
      <alignment horizontal="left" vertical="center" indent="1"/>
    </xf>
    <xf numFmtId="0" fontId="26" fillId="9" borderId="9" xfId="0" applyFont="1" applyFill="1" applyBorder="1" applyAlignment="1" applyProtection="1">
      <alignment horizontal="center" vertical="center"/>
    </xf>
    <xf numFmtId="0" fontId="26" fillId="9" borderId="13" xfId="0" applyFont="1" applyFill="1" applyBorder="1" applyAlignment="1" applyProtection="1">
      <alignment horizontal="center" vertical="center"/>
    </xf>
    <xf numFmtId="1" fontId="26" fillId="9" borderId="9" xfId="0" applyNumberFormat="1" applyFont="1" applyFill="1" applyBorder="1" applyAlignment="1" applyProtection="1">
      <alignment horizontal="center" vertical="center"/>
    </xf>
    <xf numFmtId="1" fontId="26" fillId="9" borderId="13" xfId="0" applyNumberFormat="1" applyFont="1" applyFill="1" applyBorder="1" applyAlignment="1" applyProtection="1">
      <alignment horizontal="center" vertical="center"/>
    </xf>
    <xf numFmtId="0" fontId="8" fillId="10" borderId="11" xfId="0" applyFont="1" applyFill="1" applyBorder="1" applyAlignment="1" applyProtection="1">
      <alignment horizontal="left" vertical="center" indent="1"/>
    </xf>
    <xf numFmtId="0" fontId="8" fillId="11" borderId="11" xfId="0" applyFont="1" applyFill="1" applyBorder="1" applyAlignment="1" applyProtection="1">
      <alignment horizontal="left" vertical="center" indent="1"/>
    </xf>
    <xf numFmtId="2" fontId="17" fillId="10" borderId="14" xfId="0" applyNumberFormat="1" applyFont="1" applyFill="1" applyBorder="1" applyAlignment="1" applyProtection="1">
      <alignment horizontal="center" vertical="center"/>
    </xf>
    <xf numFmtId="2" fontId="17" fillId="10" borderId="2" xfId="0" applyNumberFormat="1" applyFont="1" applyFill="1" applyBorder="1" applyAlignment="1" applyProtection="1">
      <alignment horizontal="center" vertical="center"/>
    </xf>
    <xf numFmtId="0" fontId="17" fillId="10" borderId="15" xfId="0" applyFont="1" applyFill="1" applyBorder="1" applyAlignment="1" applyProtection="1">
      <alignment horizontal="left" vertical="center"/>
    </xf>
    <xf numFmtId="0" fontId="17" fillId="10" borderId="3" xfId="0" applyFont="1" applyFill="1" applyBorder="1" applyAlignment="1" applyProtection="1">
      <alignment horizontal="left" vertical="center"/>
    </xf>
    <xf numFmtId="0" fontId="23" fillId="11" borderId="4" xfId="0" applyFont="1" applyFill="1" applyBorder="1" applyAlignment="1" applyProtection="1">
      <alignment horizontal="left" vertical="center" indent="1"/>
    </xf>
    <xf numFmtId="0" fontId="23" fillId="11" borderId="6" xfId="0" applyFont="1" applyFill="1" applyBorder="1" applyAlignment="1" applyProtection="1">
      <alignment horizontal="left" vertical="center" indent="1"/>
    </xf>
    <xf numFmtId="0" fontId="23" fillId="11" borderId="5" xfId="0" applyFont="1" applyFill="1" applyBorder="1" applyAlignment="1" applyProtection="1">
      <alignment horizontal="left" vertical="center" indent="1"/>
    </xf>
    <xf numFmtId="164" fontId="26" fillId="9" borderId="10" xfId="0" applyNumberFormat="1" applyFont="1" applyFill="1" applyBorder="1" applyAlignment="1" applyProtection="1">
      <alignment horizontal="center" vertical="center"/>
    </xf>
    <xf numFmtId="164" fontId="26" fillId="9" borderId="2" xfId="0" applyNumberFormat="1" applyFont="1" applyFill="1" applyBorder="1" applyAlignment="1" applyProtection="1">
      <alignment horizontal="center" vertical="center"/>
    </xf>
    <xf numFmtId="0" fontId="26" fillId="9" borderId="12" xfId="0" applyFont="1" applyFill="1" applyBorder="1" applyAlignment="1" applyProtection="1">
      <alignment horizontal="left" vertical="center"/>
    </xf>
    <xf numFmtId="0" fontId="26" fillId="9" borderId="3" xfId="0" applyFont="1" applyFill="1" applyBorder="1" applyAlignment="1" applyProtection="1">
      <alignment horizontal="left" vertical="center"/>
    </xf>
    <xf numFmtId="0" fontId="26" fillId="9" borderId="15" xfId="0" applyFont="1" applyFill="1" applyBorder="1" applyAlignment="1" applyProtection="1">
      <alignment horizontal="left" vertical="center"/>
    </xf>
    <xf numFmtId="0" fontId="26" fillId="9" borderId="14" xfId="0" applyFont="1" applyFill="1" applyBorder="1" applyAlignment="1" applyProtection="1">
      <alignment horizontal="left" vertical="center" wrapText="1" indent="1"/>
    </xf>
    <xf numFmtId="0" fontId="26" fillId="9" borderId="0" xfId="0" applyFont="1" applyFill="1" applyBorder="1" applyAlignment="1" applyProtection="1">
      <alignment horizontal="left" vertical="center" wrapText="1" indent="1"/>
    </xf>
    <xf numFmtId="0" fontId="26" fillId="9" borderId="15" xfId="0" applyFont="1" applyFill="1" applyBorder="1" applyAlignment="1" applyProtection="1">
      <alignment horizontal="left" vertical="center" wrapText="1" indent="1"/>
    </xf>
    <xf numFmtId="0" fontId="26" fillId="9" borderId="2" xfId="0" applyFont="1" applyFill="1" applyBorder="1" applyAlignment="1" applyProtection="1">
      <alignment horizontal="left" vertical="center" wrapText="1" indent="1"/>
    </xf>
    <xf numFmtId="0" fontId="26" fillId="9" borderId="7" xfId="0" applyFont="1" applyFill="1" applyBorder="1" applyAlignment="1" applyProtection="1">
      <alignment horizontal="left" vertical="center" wrapText="1" indent="1"/>
    </xf>
    <xf numFmtId="0" fontId="26" fillId="9" borderId="3" xfId="0" applyFont="1" applyFill="1" applyBorder="1" applyAlignment="1" applyProtection="1">
      <alignment horizontal="left" vertical="center" wrapText="1" indent="1"/>
    </xf>
    <xf numFmtId="0" fontId="28" fillId="10" borderId="4" xfId="0" applyFont="1" applyFill="1" applyBorder="1" applyAlignment="1" applyProtection="1">
      <alignment horizontal="left" vertical="center" indent="1"/>
    </xf>
    <xf numFmtId="0" fontId="28" fillId="10" borderId="6" xfId="0" applyFont="1" applyFill="1" applyBorder="1" applyAlignment="1" applyProtection="1">
      <alignment horizontal="left" vertical="center" indent="1"/>
    </xf>
    <xf numFmtId="0" fontId="28" fillId="11" borderId="4" xfId="0" applyFont="1" applyFill="1" applyBorder="1" applyAlignment="1" applyProtection="1">
      <alignment horizontal="left" vertical="center" indent="1"/>
    </xf>
    <xf numFmtId="0" fontId="28" fillId="11" borderId="6" xfId="0" applyFont="1" applyFill="1" applyBorder="1" applyAlignment="1" applyProtection="1">
      <alignment horizontal="left" vertical="center" indent="1"/>
    </xf>
    <xf numFmtId="164" fontId="26" fillId="9" borderId="14" xfId="0" applyNumberFormat="1" applyFont="1" applyFill="1" applyBorder="1" applyAlignment="1" applyProtection="1">
      <alignment horizontal="center" vertical="center"/>
    </xf>
    <xf numFmtId="0" fontId="26" fillId="9" borderId="10" xfId="0" applyFont="1" applyFill="1" applyBorder="1" applyAlignment="1" applyProtection="1">
      <alignment horizontal="left" vertical="center" wrapText="1" indent="1"/>
    </xf>
    <xf numFmtId="0" fontId="26" fillId="9" borderId="8" xfId="0" applyFont="1" applyFill="1" applyBorder="1" applyAlignment="1" applyProtection="1">
      <alignment horizontal="left" vertical="center" wrapText="1" indent="1"/>
    </xf>
    <xf numFmtId="0" fontId="26" fillId="9" borderId="12" xfId="0" applyFont="1" applyFill="1" applyBorder="1" applyAlignment="1" applyProtection="1">
      <alignment horizontal="left" vertical="center" wrapText="1" indent="1"/>
    </xf>
    <xf numFmtId="0" fontId="26" fillId="8" borderId="9" xfId="0" applyFont="1" applyFill="1" applyBorder="1" applyAlignment="1" applyProtection="1">
      <alignment horizontal="center" vertical="center"/>
    </xf>
    <xf numFmtId="0" fontId="26" fillId="8" borderId="13" xfId="0" applyFont="1" applyFill="1" applyBorder="1" applyAlignment="1" applyProtection="1">
      <alignment horizontal="center" vertical="center"/>
    </xf>
    <xf numFmtId="0" fontId="26" fillId="8" borderId="10" xfId="0" applyFont="1" applyFill="1" applyBorder="1" applyAlignment="1" applyProtection="1">
      <alignment horizontal="left" vertical="center" wrapText="1" indent="1"/>
    </xf>
    <xf numFmtId="0" fontId="26" fillId="8" borderId="8" xfId="0" applyFont="1" applyFill="1" applyBorder="1" applyAlignment="1" applyProtection="1">
      <alignment horizontal="left" vertical="center" wrapText="1" indent="1"/>
    </xf>
    <xf numFmtId="0" fontId="26" fillId="8" borderId="12" xfId="0" applyFont="1" applyFill="1" applyBorder="1" applyAlignment="1" applyProtection="1">
      <alignment horizontal="left" vertical="center" wrapText="1" indent="1"/>
    </xf>
    <xf numFmtId="0" fontId="26" fillId="8" borderId="2" xfId="0" applyFont="1" applyFill="1" applyBorder="1" applyAlignment="1" applyProtection="1">
      <alignment horizontal="left" vertical="center" wrapText="1" indent="1"/>
    </xf>
    <xf numFmtId="0" fontId="26" fillId="8" borderId="7" xfId="0" applyFont="1" applyFill="1" applyBorder="1" applyAlignment="1" applyProtection="1">
      <alignment horizontal="left" vertical="center" wrapText="1" indent="1"/>
    </xf>
    <xf numFmtId="0" fontId="26" fillId="8" borderId="3" xfId="0" applyFont="1" applyFill="1" applyBorder="1" applyAlignment="1" applyProtection="1">
      <alignment horizontal="left" vertical="center" wrapText="1" inden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top" wrapText="1"/>
    </xf>
    <xf numFmtId="0" fontId="24" fillId="10" borderId="4" xfId="0" applyFont="1" applyFill="1" applyBorder="1" applyAlignment="1" applyProtection="1">
      <alignment horizontal="left" vertical="center" wrapText="1" indent="1"/>
      <protection locked="0"/>
    </xf>
    <xf numFmtId="0" fontId="24" fillId="10" borderId="5" xfId="0" applyFont="1" applyFill="1" applyBorder="1" applyAlignment="1" applyProtection="1">
      <alignment horizontal="left" vertical="center" wrapText="1" indent="1"/>
      <protection locked="0"/>
    </xf>
    <xf numFmtId="0" fontId="20" fillId="8" borderId="11" xfId="0" applyFont="1" applyFill="1" applyBorder="1" applyAlignment="1" applyProtection="1">
      <alignment horizontal="left" vertical="center" indent="1"/>
    </xf>
    <xf numFmtId="0" fontId="4" fillId="0" borderId="0" xfId="0" applyFont="1" applyBorder="1" applyAlignment="1" applyProtection="1">
      <alignment horizontal="left" vertical="center"/>
    </xf>
    <xf numFmtId="0" fontId="4" fillId="0" borderId="1" xfId="0" applyFont="1" applyBorder="1" applyAlignment="1" applyProtection="1">
      <alignment horizontal="left" vertical="center"/>
    </xf>
    <xf numFmtId="0" fontId="23" fillId="10" borderId="10" xfId="0" applyFont="1" applyFill="1" applyBorder="1" applyAlignment="1" applyProtection="1">
      <alignment horizontal="left" vertical="center" indent="1"/>
    </xf>
    <xf numFmtId="0" fontId="23" fillId="10" borderId="8" xfId="0" applyFont="1" applyFill="1" applyBorder="1" applyAlignment="1" applyProtection="1">
      <alignment horizontal="left" vertical="center" indent="1"/>
    </xf>
    <xf numFmtId="0" fontId="23" fillId="10" borderId="12" xfId="0" applyFont="1" applyFill="1" applyBorder="1" applyAlignment="1" applyProtection="1">
      <alignment horizontal="left" vertical="center" indent="1"/>
    </xf>
    <xf numFmtId="0" fontId="23" fillId="10" borderId="2" xfId="0" applyFont="1" applyFill="1" applyBorder="1" applyAlignment="1" applyProtection="1">
      <alignment horizontal="left" vertical="center" indent="1"/>
    </xf>
    <xf numFmtId="0" fontId="23" fillId="10" borderId="7" xfId="0" applyFont="1" applyFill="1" applyBorder="1" applyAlignment="1" applyProtection="1">
      <alignment horizontal="left" vertical="center" indent="1"/>
    </xf>
    <xf numFmtId="0" fontId="23" fillId="10" borderId="3" xfId="0" applyFont="1" applyFill="1" applyBorder="1" applyAlignment="1" applyProtection="1">
      <alignment horizontal="left" vertical="center" indent="1"/>
    </xf>
    <xf numFmtId="14" fontId="5" fillId="0" borderId="0" xfId="0" applyNumberFormat="1"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19" fillId="8" borderId="9" xfId="0" applyFont="1" applyFill="1" applyBorder="1" applyAlignment="1" applyProtection="1">
      <alignment horizontal="center" vertical="center" wrapText="1"/>
    </xf>
    <xf numFmtId="0" fontId="19" fillId="8" borderId="13" xfId="0" applyFont="1" applyFill="1" applyBorder="1" applyAlignment="1" applyProtection="1">
      <alignment horizontal="center" vertical="center" wrapText="1"/>
    </xf>
    <xf numFmtId="0" fontId="23" fillId="10" borderId="11" xfId="0" applyFont="1" applyFill="1" applyBorder="1" applyAlignment="1" applyProtection="1">
      <alignment horizontal="left" vertical="center" wrapText="1" indent="1"/>
    </xf>
    <xf numFmtId="0" fontId="22" fillId="10" borderId="11" xfId="0" applyFont="1" applyFill="1" applyBorder="1" applyAlignment="1" applyProtection="1">
      <alignment horizontal="left" vertical="center" wrapText="1" indent="1"/>
    </xf>
    <xf numFmtId="0" fontId="19" fillId="8" borderId="10" xfId="0" applyFont="1" applyFill="1" applyBorder="1" applyAlignment="1" applyProtection="1">
      <alignment horizontal="left" vertical="center" wrapText="1" indent="1"/>
    </xf>
    <xf numFmtId="0" fontId="19" fillId="8" borderId="8" xfId="0" applyFont="1" applyFill="1" applyBorder="1" applyAlignment="1" applyProtection="1">
      <alignment horizontal="left" vertical="center" wrapText="1" indent="1"/>
    </xf>
    <xf numFmtId="0" fontId="19" fillId="8" borderId="12" xfId="0" applyFont="1" applyFill="1" applyBorder="1" applyAlignment="1" applyProtection="1">
      <alignment horizontal="left" vertical="center" wrapText="1" indent="1"/>
    </xf>
    <xf numFmtId="0" fontId="19" fillId="8" borderId="2" xfId="0" applyFont="1" applyFill="1" applyBorder="1" applyAlignment="1" applyProtection="1">
      <alignment horizontal="left" vertical="center" wrapText="1" indent="1"/>
    </xf>
    <xf numFmtId="0" fontId="19" fillId="8" borderId="7" xfId="0" applyFont="1" applyFill="1" applyBorder="1" applyAlignment="1" applyProtection="1">
      <alignment horizontal="left" vertical="center" wrapText="1" indent="1"/>
    </xf>
    <xf numFmtId="0" fontId="19" fillId="8" borderId="3" xfId="0" applyFont="1" applyFill="1" applyBorder="1" applyAlignment="1" applyProtection="1">
      <alignment horizontal="left" vertical="center" wrapText="1" indent="1"/>
    </xf>
    <xf numFmtId="0" fontId="23" fillId="10" borderId="4" xfId="0" applyFont="1" applyFill="1" applyBorder="1" applyAlignment="1" applyProtection="1">
      <alignment horizontal="left" vertical="center" indent="1"/>
    </xf>
    <xf numFmtId="0" fontId="23" fillId="10" borderId="6" xfId="0" applyFont="1" applyFill="1" applyBorder="1" applyAlignment="1" applyProtection="1">
      <alignment horizontal="left" vertical="center" indent="1"/>
    </xf>
    <xf numFmtId="0" fontId="23" fillId="10" borderId="5" xfId="0" applyFont="1" applyFill="1" applyBorder="1" applyAlignment="1" applyProtection="1">
      <alignment horizontal="left" vertical="center" indent="1"/>
    </xf>
    <xf numFmtId="0" fontId="19" fillId="2" borderId="4" xfId="0" applyNumberFormat="1" applyFont="1" applyFill="1" applyBorder="1" applyAlignment="1" applyProtection="1">
      <alignment horizontal="center" vertical="center" wrapText="1"/>
    </xf>
    <xf numFmtId="0" fontId="19" fillId="2" borderId="5"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0" fontId="19" fillId="2" borderId="9" xfId="0" applyNumberFormat="1" applyFont="1" applyFill="1" applyBorder="1" applyAlignment="1" applyProtection="1">
      <alignment horizontal="center" vertical="center" wrapText="1"/>
    </xf>
    <xf numFmtId="0" fontId="19" fillId="2" borderId="13" xfId="0" applyNumberFormat="1" applyFont="1" applyFill="1" applyBorder="1" applyAlignment="1" applyProtection="1">
      <alignment horizontal="center" vertical="center" wrapText="1"/>
    </xf>
    <xf numFmtId="2" fontId="26" fillId="9" borderId="10" xfId="0" applyNumberFormat="1" applyFont="1" applyFill="1" applyBorder="1" applyAlignment="1" applyProtection="1">
      <alignment horizontal="center" vertical="center"/>
    </xf>
    <xf numFmtId="2" fontId="26" fillId="9" borderId="2" xfId="0" applyNumberFormat="1" applyFont="1" applyFill="1" applyBorder="1" applyAlignment="1" applyProtection="1">
      <alignment horizontal="center" vertical="center"/>
    </xf>
    <xf numFmtId="0" fontId="26" fillId="8" borderId="4" xfId="0" applyFont="1" applyFill="1" applyBorder="1" applyAlignment="1" applyProtection="1">
      <alignment horizontal="left" vertical="center" indent="1"/>
    </xf>
    <xf numFmtId="0" fontId="26" fillId="8" borderId="6" xfId="0" applyFont="1" applyFill="1" applyBorder="1" applyAlignment="1" applyProtection="1">
      <alignment horizontal="left" vertical="center" indent="1"/>
    </xf>
    <xf numFmtId="0" fontId="26" fillId="8" borderId="5" xfId="0" applyFont="1" applyFill="1" applyBorder="1" applyAlignment="1" applyProtection="1">
      <alignment horizontal="left" vertical="center" indent="1"/>
    </xf>
    <xf numFmtId="0" fontId="2" fillId="11" borderId="12" xfId="0" applyFont="1" applyFill="1" applyBorder="1" applyAlignment="1" applyProtection="1">
      <alignment horizontal="left" vertical="center"/>
    </xf>
    <xf numFmtId="0" fontId="2" fillId="11" borderId="3" xfId="0" applyFont="1" applyFill="1" applyBorder="1" applyAlignment="1" applyProtection="1">
      <alignment horizontal="left" vertical="center"/>
    </xf>
    <xf numFmtId="0" fontId="2" fillId="10" borderId="12" xfId="0" applyFont="1" applyFill="1" applyBorder="1" applyAlignment="1" applyProtection="1">
      <alignment horizontal="left" vertical="center"/>
    </xf>
    <xf numFmtId="0" fontId="2" fillId="10" borderId="3" xfId="0" applyFont="1" applyFill="1" applyBorder="1" applyAlignment="1" applyProtection="1">
      <alignment horizontal="left" vertical="center"/>
    </xf>
    <xf numFmtId="1" fontId="18" fillId="10" borderId="10" xfId="0" applyNumberFormat="1" applyFont="1" applyFill="1" applyBorder="1" applyAlignment="1" applyProtection="1">
      <alignment horizontal="center" vertical="center"/>
      <protection locked="0"/>
    </xf>
    <xf numFmtId="1" fontId="18" fillId="10" borderId="2" xfId="0" applyNumberFormat="1"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17" fillId="10" borderId="10" xfId="0" applyFont="1" applyFill="1" applyBorder="1" applyAlignment="1" applyProtection="1">
      <alignment horizontal="left" vertical="center" wrapText="1" indent="1"/>
    </xf>
    <xf numFmtId="0" fontId="17" fillId="10" borderId="8" xfId="0" applyFont="1" applyFill="1" applyBorder="1" applyAlignment="1" applyProtection="1">
      <alignment horizontal="left" vertical="center" wrapText="1" indent="1"/>
    </xf>
    <xf numFmtId="0" fontId="17" fillId="10" borderId="2" xfId="0" applyFont="1" applyFill="1" applyBorder="1" applyAlignment="1" applyProtection="1">
      <alignment horizontal="left" vertical="center" wrapText="1" indent="1"/>
    </xf>
    <xf numFmtId="0" fontId="17" fillId="10" borderId="7" xfId="0" applyFont="1" applyFill="1" applyBorder="1" applyAlignment="1" applyProtection="1">
      <alignment horizontal="left" vertical="center" wrapText="1" indent="1"/>
    </xf>
    <xf numFmtId="0" fontId="26" fillId="0" borderId="14"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1" fillId="10" borderId="4" xfId="0" applyFont="1" applyFill="1" applyBorder="1" applyAlignment="1" applyProtection="1">
      <alignment horizontal="left" vertical="center" wrapText="1" indent="1"/>
    </xf>
    <xf numFmtId="0" fontId="1" fillId="10" borderId="6" xfId="0" applyFont="1" applyFill="1" applyBorder="1" applyAlignment="1" applyProtection="1">
      <alignment horizontal="left" vertical="center" wrapText="1" indent="1"/>
    </xf>
    <xf numFmtId="0" fontId="1" fillId="10" borderId="5" xfId="0" applyFont="1" applyFill="1" applyBorder="1" applyAlignment="1" applyProtection="1">
      <alignment horizontal="left" vertical="center" wrapText="1" indent="1"/>
    </xf>
    <xf numFmtId="0" fontId="23" fillId="11" borderId="10" xfId="0" applyFont="1" applyFill="1" applyBorder="1" applyAlignment="1" applyProtection="1">
      <alignment horizontal="left" vertical="center" indent="1"/>
    </xf>
    <xf numFmtId="0" fontId="23" fillId="11" borderId="8" xfId="0" applyFont="1" applyFill="1" applyBorder="1" applyAlignment="1" applyProtection="1">
      <alignment horizontal="left" vertical="center" indent="1"/>
    </xf>
    <xf numFmtId="0" fontId="23" fillId="11" borderId="12" xfId="0" applyFont="1" applyFill="1" applyBorder="1" applyAlignment="1" applyProtection="1">
      <alignment horizontal="left" vertical="center" indent="1"/>
    </xf>
    <xf numFmtId="0" fontId="23" fillId="11" borderId="2" xfId="0" applyFont="1" applyFill="1" applyBorder="1" applyAlignment="1" applyProtection="1">
      <alignment horizontal="left" vertical="center" indent="1"/>
    </xf>
    <xf numFmtId="0" fontId="23" fillId="11" borderId="7" xfId="0" applyFont="1" applyFill="1" applyBorder="1" applyAlignment="1" applyProtection="1">
      <alignment horizontal="left" vertical="center" indent="1"/>
    </xf>
    <xf numFmtId="0" fontId="23" fillId="11" borderId="3" xfId="0" applyFont="1" applyFill="1" applyBorder="1" applyAlignment="1" applyProtection="1">
      <alignment horizontal="left" vertical="center" indent="1"/>
    </xf>
    <xf numFmtId="1" fontId="18" fillId="11" borderId="10" xfId="0" applyNumberFormat="1" applyFont="1" applyFill="1" applyBorder="1" applyAlignment="1" applyProtection="1">
      <alignment horizontal="center" vertical="center"/>
      <protection locked="0"/>
    </xf>
    <xf numFmtId="1" fontId="18" fillId="11" borderId="2" xfId="0" applyNumberFormat="1" applyFont="1" applyFill="1" applyBorder="1" applyAlignment="1" applyProtection="1">
      <alignment horizontal="center" vertical="center"/>
      <protection locked="0"/>
    </xf>
    <xf numFmtId="0" fontId="23" fillId="10" borderId="11" xfId="0" applyFont="1" applyFill="1" applyBorder="1" applyAlignment="1" applyProtection="1">
      <alignment horizontal="left" vertical="center" indent="1"/>
    </xf>
    <xf numFmtId="0" fontId="27" fillId="11" borderId="4" xfId="0" applyFont="1" applyFill="1" applyBorder="1" applyAlignment="1" applyProtection="1">
      <alignment horizontal="left" vertical="center" wrapText="1" indent="1"/>
    </xf>
    <xf numFmtId="0" fontId="27" fillId="11" borderId="6" xfId="0" applyFont="1" applyFill="1" applyBorder="1" applyAlignment="1" applyProtection="1">
      <alignment horizontal="left" vertical="center" wrapText="1" indent="1"/>
    </xf>
    <xf numFmtId="0" fontId="27" fillId="11" borderId="5" xfId="0" applyFont="1" applyFill="1" applyBorder="1" applyAlignment="1" applyProtection="1">
      <alignment horizontal="left" vertical="center" wrapText="1" indent="1"/>
    </xf>
    <xf numFmtId="0" fontId="23" fillId="11" borderId="11" xfId="0" applyFont="1" applyFill="1" applyBorder="1" applyAlignment="1" applyProtection="1">
      <alignment horizontal="left" vertical="center" indent="1"/>
    </xf>
    <xf numFmtId="0" fontId="26" fillId="9" borderId="10" xfId="0" applyFont="1" applyFill="1" applyBorder="1" applyAlignment="1" applyProtection="1">
      <alignment horizontal="center" vertical="center"/>
    </xf>
    <xf numFmtId="0" fontId="26" fillId="9" borderId="8" xfId="0" applyFont="1" applyFill="1" applyBorder="1" applyAlignment="1" applyProtection="1">
      <alignment horizontal="center" vertical="center"/>
    </xf>
    <xf numFmtId="0" fontId="26" fillId="9" borderId="12" xfId="0" applyFont="1" applyFill="1" applyBorder="1" applyAlignment="1" applyProtection="1">
      <alignment horizontal="center" vertical="center"/>
    </xf>
    <xf numFmtId="0" fontId="26" fillId="9" borderId="2" xfId="0" applyFont="1" applyFill="1" applyBorder="1" applyAlignment="1" applyProtection="1">
      <alignment horizontal="center" vertical="center"/>
    </xf>
    <xf numFmtId="0" fontId="26" fillId="9" borderId="7" xfId="0" applyFont="1" applyFill="1" applyBorder="1" applyAlignment="1" applyProtection="1">
      <alignment horizontal="center" vertical="center"/>
    </xf>
    <xf numFmtId="0" fontId="26" fillId="9" borderId="3" xfId="0" applyFont="1" applyFill="1" applyBorder="1" applyAlignment="1" applyProtection="1">
      <alignment horizontal="center" vertical="center"/>
    </xf>
  </cellXfs>
  <cellStyles count="1">
    <cellStyle name="Normal" xfId="0" builtinId="0"/>
  </cellStyles>
  <dxfs count="4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B4B4B4"/>
      <color rgb="FF555555"/>
      <color rgb="FFDCDCDC"/>
      <color rgb="FF1E87BE"/>
      <color rgb="FF1EA0D2"/>
      <color rgb="FFA6A6A6"/>
      <color rgb="FFD9D9D9"/>
      <color rgb="FFF2F2F2"/>
      <color rgb="FF00519E"/>
      <color rgb="FF0012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390524</xdr:colOff>
      <xdr:row>2</xdr:row>
      <xdr:rowOff>68580</xdr:rowOff>
    </xdr:from>
    <xdr:to>
      <xdr:col>4</xdr:col>
      <xdr:colOff>369187</xdr:colOff>
      <xdr:row>8</xdr:row>
      <xdr:rowOff>69999</xdr:rowOff>
    </xdr:to>
    <xdr:sp macro="" textlink="">
      <xdr:nvSpPr>
        <xdr:cNvPr id="4" name="Rechthoek 3"/>
        <xdr:cNvSpPr/>
      </xdr:nvSpPr>
      <xdr:spPr>
        <a:xfrm>
          <a:off x="390524" y="396240"/>
          <a:ext cx="3026663" cy="10910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2400" b="1">
              <a:solidFill>
                <a:schemeClr val="tx1"/>
              </a:solidFill>
              <a:latin typeface="Bosch Office Sans" pitchFamily="2" charset="0"/>
            </a:rPr>
            <a:t>PROMATRIX 6000</a:t>
          </a:r>
        </a:p>
        <a:p>
          <a:pPr algn="l"/>
          <a:r>
            <a:rPr lang="nl-NL" sz="1600">
              <a:solidFill>
                <a:srgbClr val="A6A6A6"/>
              </a:solidFill>
              <a:latin typeface="Bosch Office Sans" pitchFamily="2" charset="0"/>
            </a:rPr>
            <a:t>Power Calculator</a:t>
          </a:r>
          <a:r>
            <a:rPr lang="nl-NL" sz="1600" baseline="0">
              <a:solidFill>
                <a:srgbClr val="A6A6A6"/>
              </a:solidFill>
              <a:latin typeface="Bosch Office Sans" pitchFamily="2" charset="0"/>
            </a:rPr>
            <a:t> V2.0</a:t>
          </a:r>
        </a:p>
      </xdr:txBody>
    </xdr:sp>
    <xdr:clientData/>
  </xdr:twoCellAnchor>
  <xdr:twoCellAnchor>
    <xdr:from>
      <xdr:col>8</xdr:col>
      <xdr:colOff>137747</xdr:colOff>
      <xdr:row>40</xdr:row>
      <xdr:rowOff>41031</xdr:rowOff>
    </xdr:from>
    <xdr:to>
      <xdr:col>8</xdr:col>
      <xdr:colOff>599342</xdr:colOff>
      <xdr:row>41</xdr:row>
      <xdr:rowOff>161193</xdr:rowOff>
    </xdr:to>
    <xdr:sp macro="" textlink="">
      <xdr:nvSpPr>
        <xdr:cNvPr id="10" name="Right Arrow 5"/>
        <xdr:cNvSpPr/>
      </xdr:nvSpPr>
      <xdr:spPr>
        <a:xfrm>
          <a:off x="6233747" y="7356231"/>
          <a:ext cx="461595" cy="310662"/>
        </a:xfrm>
        <a:prstGeom prst="right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de-DE" sz="1000"/>
        </a:p>
      </xdr:txBody>
    </xdr:sp>
    <xdr:clientData/>
  </xdr:twoCellAnchor>
  <xdr:twoCellAnchor editAs="oneCell">
    <xdr:from>
      <xdr:col>11</xdr:col>
      <xdr:colOff>4985</xdr:colOff>
      <xdr:row>2</xdr:row>
      <xdr:rowOff>163112</xdr:rowOff>
    </xdr:from>
    <xdr:to>
      <xdr:col>16</xdr:col>
      <xdr:colOff>90329</xdr:colOff>
      <xdr:row>7</xdr:row>
      <xdr:rowOff>165340</xdr:rowOff>
    </xdr:to>
    <xdr:pic>
      <xdr:nvPicPr>
        <xdr:cNvPr id="7" name="Afbeelding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6985" y="490772"/>
          <a:ext cx="3895344" cy="901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137747</xdr:colOff>
      <xdr:row>40</xdr:row>
      <xdr:rowOff>41031</xdr:rowOff>
    </xdr:from>
    <xdr:to>
      <xdr:col>8</xdr:col>
      <xdr:colOff>599342</xdr:colOff>
      <xdr:row>41</xdr:row>
      <xdr:rowOff>161193</xdr:rowOff>
    </xdr:to>
    <xdr:sp macro="" textlink="">
      <xdr:nvSpPr>
        <xdr:cNvPr id="4" name="Right Arrow 5"/>
        <xdr:cNvSpPr/>
      </xdr:nvSpPr>
      <xdr:spPr>
        <a:xfrm>
          <a:off x="6233747" y="7546731"/>
          <a:ext cx="461595" cy="310662"/>
        </a:xfrm>
        <a:prstGeom prst="right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de-DE" sz="1000"/>
        </a:p>
      </xdr:txBody>
    </xdr:sp>
    <xdr:clientData/>
  </xdr:twoCellAnchor>
  <xdr:twoCellAnchor>
    <xdr:from>
      <xdr:col>0</xdr:col>
      <xdr:colOff>398789</xdr:colOff>
      <xdr:row>1</xdr:row>
      <xdr:rowOff>145691</xdr:rowOff>
    </xdr:from>
    <xdr:to>
      <xdr:col>4</xdr:col>
      <xdr:colOff>377452</xdr:colOff>
      <xdr:row>8</xdr:row>
      <xdr:rowOff>150912</xdr:rowOff>
    </xdr:to>
    <xdr:sp macro="" textlink="">
      <xdr:nvSpPr>
        <xdr:cNvPr id="6" name="Rechthoek 3"/>
        <xdr:cNvSpPr/>
      </xdr:nvSpPr>
      <xdr:spPr>
        <a:xfrm>
          <a:off x="398789" y="307436"/>
          <a:ext cx="3026663" cy="12524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2400" b="1">
              <a:solidFill>
                <a:schemeClr val="tx1"/>
              </a:solidFill>
              <a:latin typeface="Bosch Office Sans" pitchFamily="2" charset="0"/>
            </a:rPr>
            <a:t>PROMATRIX 6000</a:t>
          </a:r>
        </a:p>
        <a:p>
          <a:pPr algn="l"/>
          <a:r>
            <a:rPr lang="nl-NL" sz="1600">
              <a:solidFill>
                <a:srgbClr val="A6A6A6"/>
              </a:solidFill>
              <a:latin typeface="Bosch Office Sans" pitchFamily="2" charset="0"/>
            </a:rPr>
            <a:t>Power Calculator</a:t>
          </a:r>
          <a:r>
            <a:rPr lang="nl-NL" sz="1600" baseline="0">
              <a:solidFill>
                <a:srgbClr val="A6A6A6"/>
              </a:solidFill>
              <a:latin typeface="Bosch Office Sans" pitchFamily="2" charset="0"/>
            </a:rPr>
            <a:t> V2.0</a:t>
          </a:r>
        </a:p>
      </xdr:txBody>
    </xdr:sp>
    <xdr:clientData/>
  </xdr:twoCellAnchor>
  <xdr:twoCellAnchor editAs="oneCell">
    <xdr:from>
      <xdr:col>11</xdr:col>
      <xdr:colOff>2452</xdr:colOff>
      <xdr:row>2</xdr:row>
      <xdr:rowOff>159507</xdr:rowOff>
    </xdr:from>
    <xdr:to>
      <xdr:col>16</xdr:col>
      <xdr:colOff>87796</xdr:colOff>
      <xdr:row>7</xdr:row>
      <xdr:rowOff>156722</xdr:rowOff>
    </xdr:to>
    <xdr:pic>
      <xdr:nvPicPr>
        <xdr:cNvPr id="7" name="Afbeelding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4452" y="482998"/>
          <a:ext cx="3895344" cy="892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0"/>
  <sheetViews>
    <sheetView showGridLines="0" zoomScale="80" zoomScaleNormal="80" workbookViewId="0">
      <selection activeCell="B10" sqref="B10:G11"/>
    </sheetView>
  </sheetViews>
  <sheetFormatPr defaultColWidth="11.42578125" defaultRowHeight="12.75" x14ac:dyDescent="0.2"/>
  <cols>
    <col min="1" max="17" width="11.42578125" style="24" customWidth="1"/>
    <col min="18" max="25" width="11.42578125" style="24"/>
    <col min="26" max="26" width="11.42578125" style="24" hidden="1" customWidth="1"/>
    <col min="27" max="27" width="24.28515625" style="29" hidden="1" customWidth="1"/>
    <col min="28" max="28" width="9" style="29" hidden="1" customWidth="1"/>
    <col min="29" max="29" width="9.85546875" style="29" hidden="1" customWidth="1"/>
    <col min="30" max="30" width="13.85546875" style="29" hidden="1" customWidth="1"/>
    <col min="31" max="31" width="12.140625" style="29" hidden="1" customWidth="1"/>
    <col min="32" max="32" width="12.7109375" style="29" hidden="1" customWidth="1"/>
    <col min="33" max="33" width="8.85546875" style="29" hidden="1" customWidth="1"/>
    <col min="34" max="34" width="8.42578125" style="29" hidden="1" customWidth="1"/>
    <col min="35" max="35" width="13.7109375" style="29" hidden="1" customWidth="1"/>
    <col min="36" max="36" width="12.140625" style="29" hidden="1" customWidth="1"/>
    <col min="37" max="37" width="11.42578125" style="24" customWidth="1"/>
    <col min="38" max="16384" width="11.42578125" style="24"/>
  </cols>
  <sheetData>
    <row r="1" spans="1:36" x14ac:dyDescent="0.2">
      <c r="A1" s="102"/>
      <c r="B1" s="102"/>
      <c r="C1" s="102"/>
      <c r="D1" s="102"/>
      <c r="E1" s="102"/>
      <c r="F1" s="102"/>
      <c r="G1" s="102"/>
      <c r="H1" s="102"/>
      <c r="I1" s="102"/>
      <c r="J1" s="102"/>
      <c r="K1" s="102"/>
      <c r="L1" s="102"/>
      <c r="M1" s="102"/>
      <c r="N1" s="102"/>
      <c r="O1" s="102"/>
      <c r="P1" s="102"/>
      <c r="Q1" s="102"/>
    </row>
    <row r="2" spans="1:36" x14ac:dyDescent="0.2">
      <c r="A2" s="69"/>
      <c r="B2" s="69"/>
      <c r="C2" s="69"/>
      <c r="D2" s="69"/>
      <c r="E2" s="69"/>
      <c r="F2" s="69"/>
      <c r="G2" s="69"/>
      <c r="H2" s="69"/>
      <c r="I2" s="69"/>
      <c r="J2" s="69"/>
      <c r="K2" s="69"/>
      <c r="L2" s="69"/>
      <c r="M2" s="69"/>
      <c r="N2" s="69"/>
      <c r="O2" s="69"/>
      <c r="P2" s="69"/>
      <c r="Q2" s="69"/>
      <c r="AA2" s="29" t="s">
        <v>72</v>
      </c>
      <c r="AB2" s="29" t="s">
        <v>137</v>
      </c>
    </row>
    <row r="3" spans="1:36" x14ac:dyDescent="0.2">
      <c r="A3" s="69"/>
      <c r="B3" s="69"/>
      <c r="C3" s="69"/>
      <c r="D3" s="69"/>
      <c r="E3" s="69"/>
      <c r="F3" s="69"/>
      <c r="G3" s="69"/>
      <c r="H3" s="69"/>
      <c r="I3" s="69"/>
      <c r="J3" s="69"/>
      <c r="K3" s="69"/>
      <c r="L3" s="69"/>
      <c r="M3" s="69"/>
      <c r="N3" s="69"/>
      <c r="O3" s="69"/>
      <c r="P3" s="69"/>
      <c r="Q3" s="69"/>
    </row>
    <row r="4" spans="1:36" x14ac:dyDescent="0.2">
      <c r="A4" s="69"/>
      <c r="B4" s="69"/>
      <c r="C4" s="69"/>
      <c r="D4" s="69"/>
      <c r="E4" s="69"/>
      <c r="F4" s="69"/>
      <c r="G4" s="69"/>
      <c r="H4" s="69"/>
      <c r="I4" s="69"/>
      <c r="J4" s="69"/>
      <c r="K4" s="69"/>
      <c r="L4" s="69"/>
      <c r="M4" s="69"/>
      <c r="N4" s="69"/>
      <c r="O4" s="69"/>
      <c r="P4" s="69"/>
      <c r="Q4" s="69"/>
    </row>
    <row r="5" spans="1:36" ht="15" customHeight="1" x14ac:dyDescent="0.2">
      <c r="A5" s="69"/>
      <c r="B5" s="69"/>
      <c r="C5" s="69"/>
      <c r="D5" s="69"/>
      <c r="E5" s="69"/>
      <c r="F5" s="69"/>
      <c r="G5" s="69"/>
      <c r="H5" s="69"/>
      <c r="I5" s="69"/>
      <c r="J5" s="69"/>
      <c r="K5" s="69"/>
      <c r="L5" s="69"/>
      <c r="M5" s="69"/>
      <c r="N5" s="69"/>
      <c r="O5" s="69"/>
      <c r="P5" s="69"/>
      <c r="Q5" s="69"/>
      <c r="AA5" s="1"/>
      <c r="AB5" s="1"/>
      <c r="AC5" s="1"/>
      <c r="AD5" s="1"/>
      <c r="AE5" s="1"/>
      <c r="AF5" s="1"/>
      <c r="AG5" s="1"/>
      <c r="AH5" s="1"/>
      <c r="AI5" s="1"/>
      <c r="AJ5" s="1"/>
    </row>
    <row r="6" spans="1:36" ht="15" customHeight="1" x14ac:dyDescent="0.2">
      <c r="A6" s="69"/>
      <c r="B6" s="69"/>
      <c r="C6" s="69"/>
      <c r="D6" s="69"/>
      <c r="E6" s="69"/>
      <c r="F6" s="69"/>
      <c r="G6" s="69"/>
      <c r="H6" s="69"/>
      <c r="I6" s="69"/>
      <c r="J6" s="69"/>
      <c r="K6" s="69"/>
      <c r="L6" s="69"/>
      <c r="M6" s="69"/>
      <c r="N6" s="69"/>
      <c r="O6" s="69"/>
      <c r="P6" s="69"/>
      <c r="Q6" s="69"/>
      <c r="AA6" s="6"/>
      <c r="AB6" s="187" t="s">
        <v>32</v>
      </c>
      <c r="AC6" s="187"/>
      <c r="AD6" s="187"/>
      <c r="AE6" s="187"/>
      <c r="AF6" s="6"/>
      <c r="AG6" s="187" t="s">
        <v>33</v>
      </c>
      <c r="AH6" s="187"/>
      <c r="AI6" s="187"/>
      <c r="AJ6" s="187"/>
    </row>
    <row r="7" spans="1:36" ht="15" customHeight="1" x14ac:dyDescent="0.2">
      <c r="A7" s="69"/>
      <c r="B7" s="69"/>
      <c r="C7" s="69"/>
      <c r="D7" s="69"/>
      <c r="E7" s="69"/>
      <c r="F7" s="69"/>
      <c r="G7" s="69"/>
      <c r="H7" s="69"/>
      <c r="I7" s="69"/>
      <c r="J7" s="69"/>
      <c r="K7" s="69"/>
      <c r="L7" s="69"/>
      <c r="M7" s="69"/>
      <c r="N7" s="69"/>
      <c r="O7" s="69"/>
      <c r="P7" s="69"/>
      <c r="Q7" s="69"/>
      <c r="AA7" s="6"/>
      <c r="AB7" s="16" t="s">
        <v>13</v>
      </c>
      <c r="AC7" s="16" t="s">
        <v>14</v>
      </c>
      <c r="AD7" s="16" t="s">
        <v>34</v>
      </c>
      <c r="AE7" s="16" t="s">
        <v>35</v>
      </c>
      <c r="AF7" s="15" t="s">
        <v>36</v>
      </c>
      <c r="AG7" s="16" t="s">
        <v>13</v>
      </c>
      <c r="AH7" s="16" t="s">
        <v>14</v>
      </c>
      <c r="AI7" s="16" t="s">
        <v>34</v>
      </c>
      <c r="AJ7" s="16" t="s">
        <v>35</v>
      </c>
    </row>
    <row r="8" spans="1:36" ht="15" customHeight="1" x14ac:dyDescent="0.2">
      <c r="A8" s="69"/>
      <c r="B8" s="69"/>
      <c r="C8" s="69"/>
      <c r="D8" s="69"/>
      <c r="E8" s="69"/>
      <c r="F8" s="69"/>
      <c r="G8" s="69"/>
      <c r="H8" s="69"/>
      <c r="I8" s="69"/>
      <c r="J8" s="69"/>
      <c r="K8" s="69"/>
      <c r="L8" s="69"/>
      <c r="M8" s="69"/>
      <c r="N8" s="69"/>
      <c r="O8" s="69"/>
      <c r="P8" s="69"/>
      <c r="Q8" s="69"/>
      <c r="AA8" s="2" t="s">
        <v>19</v>
      </c>
      <c r="AB8" s="4">
        <f>600+IF(G40=0, 0, 50)</f>
        <v>600</v>
      </c>
      <c r="AC8" s="4">
        <f>800+IF(G40=0, 0, 50)</f>
        <v>800</v>
      </c>
      <c r="AD8" s="4">
        <f>800+IF(G40=0, 0, 50)</f>
        <v>800</v>
      </c>
      <c r="AE8" s="4">
        <f>800+IF(G40=0, 0, 50)</f>
        <v>800</v>
      </c>
      <c r="AF8" s="7">
        <f>IF(G29="YES",1,0)</f>
        <v>0</v>
      </c>
      <c r="AG8" s="8">
        <f>AB8*AF8</f>
        <v>0</v>
      </c>
      <c r="AH8" s="8">
        <f>AC8*AF8</f>
        <v>0</v>
      </c>
      <c r="AI8" s="8">
        <f t="shared" ref="AI8" si="0">AD8*AF8</f>
        <v>0</v>
      </c>
      <c r="AJ8" s="8">
        <f t="shared" ref="AJ8" si="1">AE8*AF8</f>
        <v>0</v>
      </c>
    </row>
    <row r="9" spans="1:36" s="69" customFormat="1" ht="15" customHeight="1" x14ac:dyDescent="0.2">
      <c r="AA9" s="12" t="s">
        <v>42</v>
      </c>
      <c r="AB9" s="9">
        <v>200</v>
      </c>
      <c r="AC9" s="9">
        <v>200</v>
      </c>
      <c r="AD9" s="25">
        <v>200</v>
      </c>
      <c r="AE9" s="9">
        <v>200</v>
      </c>
      <c r="AF9" s="7">
        <f>IF(G30="YES",1,0)</f>
        <v>0</v>
      </c>
      <c r="AG9" s="25">
        <f>AF9*AB9</f>
        <v>0</v>
      </c>
      <c r="AH9" s="25">
        <f>AF9*AB9</f>
        <v>0</v>
      </c>
      <c r="AI9" s="25">
        <f>AF9*AD9</f>
        <v>0</v>
      </c>
      <c r="AJ9" s="25">
        <f>AF9*AE9</f>
        <v>0</v>
      </c>
    </row>
    <row r="10" spans="1:36" ht="15" customHeight="1" x14ac:dyDescent="0.25">
      <c r="A10" s="192" t="s">
        <v>84</v>
      </c>
      <c r="B10" s="200" t="s">
        <v>86</v>
      </c>
      <c r="C10" s="201"/>
      <c r="D10" s="201"/>
      <c r="E10" s="201"/>
      <c r="F10" s="201"/>
      <c r="G10" s="201"/>
      <c r="I10" s="192" t="s">
        <v>85</v>
      </c>
      <c r="J10" s="201" t="s">
        <v>70</v>
      </c>
      <c r="K10" s="201"/>
      <c r="L10" s="201"/>
      <c r="M10" s="201"/>
      <c r="N10" s="201"/>
      <c r="O10" s="201"/>
      <c r="P10" s="201"/>
      <c r="Q10" s="201"/>
      <c r="R10" s="14"/>
      <c r="S10" s="14"/>
      <c r="T10" s="13"/>
      <c r="U10" s="13"/>
      <c r="V10" s="13"/>
      <c r="AA10" s="12" t="s">
        <v>41</v>
      </c>
      <c r="AB10" s="9">
        <v>40</v>
      </c>
      <c r="AC10" s="9">
        <v>40</v>
      </c>
      <c r="AD10" s="25">
        <v>40</v>
      </c>
      <c r="AE10" s="9">
        <v>40</v>
      </c>
      <c r="AF10" s="25">
        <f>G31</f>
        <v>0</v>
      </c>
      <c r="AG10" s="25">
        <f>AF10*AB10</f>
        <v>0</v>
      </c>
      <c r="AH10" s="25">
        <f>AF10*AC10</f>
        <v>0</v>
      </c>
      <c r="AI10" s="25">
        <f>AF10*AD10</f>
        <v>0</v>
      </c>
      <c r="AJ10" s="25">
        <f>AF10*AE10</f>
        <v>0</v>
      </c>
    </row>
    <row r="11" spans="1:36" ht="15" customHeight="1" x14ac:dyDescent="0.25">
      <c r="A11" s="193"/>
      <c r="B11" s="202"/>
      <c r="C11" s="202"/>
      <c r="D11" s="202"/>
      <c r="E11" s="202"/>
      <c r="F11" s="202"/>
      <c r="G11" s="202"/>
      <c r="I11" s="193"/>
      <c r="J11" s="202"/>
      <c r="K11" s="202"/>
      <c r="L11" s="202"/>
      <c r="M11" s="202"/>
      <c r="N11" s="202"/>
      <c r="O11" s="202"/>
      <c r="P11" s="202"/>
      <c r="Q11" s="202"/>
      <c r="R11" s="14"/>
      <c r="S11" s="14"/>
      <c r="T11" s="14"/>
      <c r="U11" s="14"/>
      <c r="V11" s="13"/>
      <c r="AA11" s="2" t="s">
        <v>21</v>
      </c>
      <c r="AB11" s="4">
        <v>180</v>
      </c>
      <c r="AC11" s="4">
        <v>180</v>
      </c>
      <c r="AD11" s="4">
        <v>180</v>
      </c>
      <c r="AE11" s="4">
        <v>180</v>
      </c>
      <c r="AF11" s="7">
        <f>IF(G32="YES",1,0)</f>
        <v>0</v>
      </c>
      <c r="AG11" s="8">
        <f>AB11*AF11</f>
        <v>0</v>
      </c>
      <c r="AH11" s="8">
        <f>AC11*AF11</f>
        <v>0</v>
      </c>
      <c r="AI11" s="8">
        <f>AD11*AF11</f>
        <v>0</v>
      </c>
      <c r="AJ11" s="8">
        <f>AE11*AF11</f>
        <v>0</v>
      </c>
    </row>
    <row r="12" spans="1:36" ht="15" customHeight="1" x14ac:dyDescent="0.2">
      <c r="G12" s="46"/>
      <c r="I12" s="14"/>
      <c r="J12" s="14"/>
      <c r="K12" s="14"/>
      <c r="L12" s="14"/>
      <c r="M12" s="14"/>
      <c r="N12" s="14"/>
      <c r="O12" s="14"/>
      <c r="P12" s="14"/>
      <c r="AA12" s="2" t="s">
        <v>22</v>
      </c>
      <c r="AB12" s="4">
        <v>625</v>
      </c>
      <c r="AC12" s="4">
        <v>625</v>
      </c>
      <c r="AD12" s="4">
        <v>625</v>
      </c>
      <c r="AE12" s="4">
        <v>625</v>
      </c>
      <c r="AF12" s="7">
        <f>G33</f>
        <v>0</v>
      </c>
      <c r="AG12" s="8">
        <f>AB12*AF12</f>
        <v>0</v>
      </c>
      <c r="AH12" s="8">
        <f>AC12*AF12</f>
        <v>0</v>
      </c>
      <c r="AI12" s="8">
        <f>AD12*AF12</f>
        <v>0</v>
      </c>
      <c r="AJ12" s="8">
        <f>AE12*AF12</f>
        <v>0</v>
      </c>
    </row>
    <row r="13" spans="1:36" ht="15" customHeight="1" x14ac:dyDescent="0.2">
      <c r="A13" s="191" t="s">
        <v>87</v>
      </c>
      <c r="B13" s="191"/>
      <c r="C13" s="191"/>
      <c r="D13" s="191"/>
      <c r="E13" s="191"/>
      <c r="F13" s="191"/>
      <c r="G13" s="191"/>
      <c r="I13" s="141" t="s">
        <v>108</v>
      </c>
      <c r="J13" s="142"/>
      <c r="K13" s="142"/>
      <c r="L13" s="142"/>
      <c r="M13" s="142"/>
      <c r="N13" s="142"/>
      <c r="O13" s="142"/>
      <c r="P13" s="223">
        <f>(F18*AF50)/100+AF50</f>
        <v>0</v>
      </c>
      <c r="Q13" s="162" t="s">
        <v>47</v>
      </c>
      <c r="R13" s="240" t="s">
        <v>149</v>
      </c>
      <c r="S13" s="241"/>
      <c r="T13" s="241"/>
      <c r="U13" s="241"/>
      <c r="V13" s="241"/>
      <c r="W13" s="241"/>
      <c r="X13" s="118"/>
      <c r="AA13" s="2" t="s">
        <v>23</v>
      </c>
      <c r="AB13" s="4">
        <f>250+IF(G40=0, 0, 50*2)</f>
        <v>250</v>
      </c>
      <c r="AC13" s="4">
        <f>650+IF(G40=0, 0, 50*2)</f>
        <v>650</v>
      </c>
      <c r="AD13" s="4">
        <f>650+IF(G40=0, 0, 50*2)</f>
        <v>650</v>
      </c>
      <c r="AE13" s="4">
        <f>650+IF(G40=0, 0, 50*2)</f>
        <v>650</v>
      </c>
      <c r="AF13" s="7">
        <f>G34</f>
        <v>0</v>
      </c>
      <c r="AG13" s="8">
        <f>AB13*AF13</f>
        <v>0</v>
      </c>
      <c r="AH13" s="8">
        <f>AC13*AF13</f>
        <v>0</v>
      </c>
      <c r="AI13" s="8">
        <f>AD13*AF13</f>
        <v>0</v>
      </c>
      <c r="AJ13" s="8">
        <f>AE13*AF13</f>
        <v>0</v>
      </c>
    </row>
    <row r="14" spans="1:36" ht="15" customHeight="1" x14ac:dyDescent="0.2">
      <c r="A14" s="151" t="s">
        <v>40</v>
      </c>
      <c r="B14" s="151"/>
      <c r="C14" s="151"/>
      <c r="D14" s="151"/>
      <c r="E14" s="151"/>
      <c r="F14" s="76">
        <v>1800</v>
      </c>
      <c r="G14" s="77" t="s">
        <v>4</v>
      </c>
      <c r="I14" s="144"/>
      <c r="J14" s="145"/>
      <c r="K14" s="145"/>
      <c r="L14" s="145"/>
      <c r="M14" s="145"/>
      <c r="N14" s="145"/>
      <c r="O14" s="145"/>
      <c r="P14" s="224"/>
      <c r="Q14" s="163"/>
      <c r="R14" s="240"/>
      <c r="S14" s="241"/>
      <c r="T14" s="241"/>
      <c r="U14" s="241"/>
      <c r="V14" s="241"/>
      <c r="W14" s="241"/>
      <c r="X14" s="118"/>
      <c r="AA14" s="12" t="s">
        <v>41</v>
      </c>
      <c r="AB14" s="9">
        <v>40</v>
      </c>
      <c r="AC14" s="9">
        <v>40</v>
      </c>
      <c r="AD14" s="25">
        <v>40</v>
      </c>
      <c r="AE14" s="9">
        <v>40</v>
      </c>
      <c r="AF14" s="7">
        <f>G35</f>
        <v>0</v>
      </c>
      <c r="AG14" s="25">
        <f>AF14*AB14</f>
        <v>0</v>
      </c>
      <c r="AH14" s="25">
        <f>AF14*AC14</f>
        <v>0</v>
      </c>
      <c r="AI14" s="25">
        <f>AF14*AD14</f>
        <v>0</v>
      </c>
      <c r="AJ14" s="25">
        <f>AF14*AE14</f>
        <v>0</v>
      </c>
    </row>
    <row r="15" spans="1:36" ht="15" customHeight="1" x14ac:dyDescent="0.2">
      <c r="A15" s="152" t="s">
        <v>88</v>
      </c>
      <c r="B15" s="152"/>
      <c r="C15" s="152"/>
      <c r="D15" s="152"/>
      <c r="E15" s="152"/>
      <c r="F15" s="89">
        <v>0</v>
      </c>
      <c r="G15" s="90" t="s">
        <v>4</v>
      </c>
      <c r="I15" s="236" t="s">
        <v>136</v>
      </c>
      <c r="J15" s="237"/>
      <c r="K15" s="237"/>
      <c r="L15" s="237"/>
      <c r="M15" s="237"/>
      <c r="N15" s="237"/>
      <c r="O15" s="237"/>
      <c r="P15" s="153">
        <f>IF(F14+F15&lt;1440,P13*1.25,P13)</f>
        <v>0</v>
      </c>
      <c r="Q15" s="155" t="s">
        <v>47</v>
      </c>
      <c r="R15" s="48"/>
      <c r="S15" s="48"/>
      <c r="T15" s="48"/>
      <c r="U15" s="48"/>
      <c r="V15" s="48"/>
      <c r="W15" s="48"/>
      <c r="AA15" s="2" t="s">
        <v>37</v>
      </c>
      <c r="AB15" s="3">
        <f>(G40/100^2*8^2/0.8)/24*1000</f>
        <v>0</v>
      </c>
      <c r="AC15" s="3">
        <f>(G40/100^2*8^2/0.8)/24*1000</f>
        <v>0</v>
      </c>
      <c r="AD15" s="4">
        <v>0</v>
      </c>
      <c r="AE15" s="4">
        <v>0</v>
      </c>
      <c r="AF15" s="7">
        <f>G40</f>
        <v>0</v>
      </c>
      <c r="AG15" s="8">
        <f>AB15</f>
        <v>0</v>
      </c>
      <c r="AH15" s="8">
        <f>AC15</f>
        <v>0</v>
      </c>
      <c r="AI15" s="8">
        <f t="shared" ref="AH15:AI26" si="2">AD15*AF15</f>
        <v>0</v>
      </c>
      <c r="AJ15" s="8">
        <f t="shared" ref="AI15:AJ26" si="3">AE15*AF15</f>
        <v>0</v>
      </c>
    </row>
    <row r="16" spans="1:36" ht="15" customHeight="1" x14ac:dyDescent="0.2">
      <c r="A16" s="151" t="s">
        <v>89</v>
      </c>
      <c r="B16" s="151"/>
      <c r="C16" s="151"/>
      <c r="D16" s="151"/>
      <c r="E16" s="151"/>
      <c r="F16" s="76">
        <v>20</v>
      </c>
      <c r="G16" s="77" t="s">
        <v>4</v>
      </c>
      <c r="I16" s="238"/>
      <c r="J16" s="239"/>
      <c r="K16" s="239"/>
      <c r="L16" s="239"/>
      <c r="M16" s="239"/>
      <c r="N16" s="239"/>
      <c r="O16" s="239"/>
      <c r="P16" s="154"/>
      <c r="Q16" s="156"/>
      <c r="R16" s="48"/>
      <c r="S16" s="48"/>
      <c r="T16" s="48"/>
      <c r="U16" s="48"/>
      <c r="V16" s="48"/>
      <c r="W16" s="48"/>
      <c r="AA16" s="5"/>
      <c r="AB16" s="4"/>
      <c r="AC16" s="4"/>
      <c r="AD16" s="4"/>
      <c r="AE16" s="4"/>
      <c r="AF16" s="7"/>
      <c r="AG16" s="8">
        <f>AB16*AF16</f>
        <v>0</v>
      </c>
      <c r="AH16" s="8">
        <f>AC16*AF16</f>
        <v>0</v>
      </c>
      <c r="AI16" s="8">
        <f t="shared" si="2"/>
        <v>0</v>
      </c>
      <c r="AJ16" s="8">
        <f t="shared" si="3"/>
        <v>0</v>
      </c>
    </row>
    <row r="17" spans="1:36" ht="15" customHeight="1" x14ac:dyDescent="0.2">
      <c r="A17" s="152" t="s">
        <v>96</v>
      </c>
      <c r="B17" s="152"/>
      <c r="C17" s="152"/>
      <c r="D17" s="152"/>
      <c r="E17" s="152"/>
      <c r="F17" s="89">
        <v>10</v>
      </c>
      <c r="G17" s="91" t="s">
        <v>4</v>
      </c>
      <c r="R17" s="48"/>
      <c r="S17" s="103"/>
      <c r="T17" s="48"/>
      <c r="U17" s="48"/>
      <c r="V17" s="48"/>
      <c r="W17" s="48"/>
      <c r="AA17" s="2" t="s">
        <v>24</v>
      </c>
      <c r="AB17" s="3">
        <v>180</v>
      </c>
      <c r="AC17" s="3">
        <v>650</v>
      </c>
      <c r="AD17" s="3">
        <v>650</v>
      </c>
      <c r="AE17" s="3">
        <v>650</v>
      </c>
      <c r="AF17" s="7">
        <f>G37</f>
        <v>0</v>
      </c>
      <c r="AG17" s="8">
        <f>AB17*AF17</f>
        <v>0</v>
      </c>
      <c r="AH17" s="8">
        <f>AC17*AF17</f>
        <v>0</v>
      </c>
      <c r="AI17" s="8">
        <f t="shared" si="2"/>
        <v>0</v>
      </c>
      <c r="AJ17" s="8">
        <f>AE17*AF17</f>
        <v>0</v>
      </c>
    </row>
    <row r="18" spans="1:36" ht="15" customHeight="1" x14ac:dyDescent="0.2">
      <c r="A18" s="123" t="s">
        <v>90</v>
      </c>
      <c r="B18" s="123"/>
      <c r="C18" s="123"/>
      <c r="D18" s="123"/>
      <c r="E18" s="123"/>
      <c r="F18" s="78">
        <v>5</v>
      </c>
      <c r="G18" s="79" t="s">
        <v>5</v>
      </c>
      <c r="I18" s="225" t="s">
        <v>115</v>
      </c>
      <c r="J18" s="226"/>
      <c r="K18" s="226"/>
      <c r="L18" s="226"/>
      <c r="M18" s="226"/>
      <c r="N18" s="226"/>
      <c r="O18" s="226"/>
      <c r="P18" s="226"/>
      <c r="Q18" s="227"/>
      <c r="R18" s="69"/>
      <c r="S18" s="70"/>
      <c r="T18" s="70"/>
      <c r="U18" s="70"/>
      <c r="V18" s="70"/>
      <c r="W18" s="70"/>
      <c r="X18" s="71"/>
      <c r="Y18" s="71"/>
      <c r="Z18" s="71"/>
      <c r="AA18" s="2" t="s">
        <v>38</v>
      </c>
      <c r="AB18" s="4">
        <v>0</v>
      </c>
      <c r="AC18" s="4">
        <v>0</v>
      </c>
      <c r="AD18" s="3">
        <f>(G39/100^2*32^2)/0.65/24*1000</f>
        <v>0</v>
      </c>
      <c r="AE18" s="3">
        <f>(G39/100^2*70.71^2)/0.65/24*1000</f>
        <v>0</v>
      </c>
      <c r="AF18" s="7">
        <f>G39</f>
        <v>0</v>
      </c>
      <c r="AG18" s="8">
        <f>AB18</f>
        <v>0</v>
      </c>
      <c r="AH18" s="8">
        <f>AC18</f>
        <v>0</v>
      </c>
      <c r="AI18" s="8">
        <f>AD18*AF18/1000</f>
        <v>0</v>
      </c>
      <c r="AJ18" s="8">
        <f>AE18*AF18/1000</f>
        <v>0</v>
      </c>
    </row>
    <row r="19" spans="1:36" ht="15" customHeight="1" x14ac:dyDescent="0.2">
      <c r="A19" s="43"/>
      <c r="B19" s="43"/>
      <c r="C19" s="43"/>
      <c r="D19" s="43"/>
      <c r="E19" s="43"/>
      <c r="F19" s="43"/>
      <c r="G19" s="43"/>
      <c r="I19" s="194" t="s">
        <v>116</v>
      </c>
      <c r="J19" s="195"/>
      <c r="K19" s="195"/>
      <c r="L19" s="195"/>
      <c r="M19" s="195"/>
      <c r="N19" s="195"/>
      <c r="O19" s="196"/>
      <c r="P19" s="232">
        <v>65</v>
      </c>
      <c r="Q19" s="230" t="s">
        <v>47</v>
      </c>
      <c r="R19" s="104" t="s">
        <v>150</v>
      </c>
      <c r="S19" s="105"/>
      <c r="T19" s="105"/>
      <c r="U19" s="105"/>
      <c r="V19" s="105"/>
      <c r="W19" s="105"/>
      <c r="X19" s="106"/>
      <c r="Y19" s="50"/>
      <c r="Z19" s="50"/>
      <c r="AA19" s="4"/>
      <c r="AB19" s="4"/>
      <c r="AC19" s="4"/>
      <c r="AD19" s="4"/>
      <c r="AE19" s="7"/>
      <c r="AF19" s="8">
        <f t="shared" ref="AF19:AG26" si="4">AA19*AE19</f>
        <v>0</v>
      </c>
      <c r="AG19" s="8">
        <f t="shared" ref="AG19:AH26" si="5">AB19*AE19</f>
        <v>0</v>
      </c>
      <c r="AH19" s="8">
        <f t="shared" si="2"/>
        <v>0</v>
      </c>
      <c r="AI19" s="8">
        <f t="shared" si="3"/>
        <v>0</v>
      </c>
      <c r="AJ19" s="24"/>
    </row>
    <row r="20" spans="1:36" ht="15" customHeight="1" x14ac:dyDescent="0.2">
      <c r="A20" s="191" t="s">
        <v>91</v>
      </c>
      <c r="B20" s="191"/>
      <c r="C20" s="191"/>
      <c r="D20" s="191"/>
      <c r="E20" s="191"/>
      <c r="F20" s="191"/>
      <c r="G20" s="191"/>
      <c r="H20" s="44"/>
      <c r="I20" s="197"/>
      <c r="J20" s="198"/>
      <c r="K20" s="198"/>
      <c r="L20" s="198"/>
      <c r="M20" s="198"/>
      <c r="N20" s="198"/>
      <c r="O20" s="199"/>
      <c r="P20" s="233"/>
      <c r="Q20" s="231"/>
      <c r="R20" s="107"/>
      <c r="S20" s="108"/>
      <c r="T20" s="108"/>
      <c r="U20" s="108"/>
      <c r="V20" s="108"/>
      <c r="W20" s="108"/>
      <c r="X20" s="109"/>
      <c r="Y20" s="26"/>
      <c r="Z20" s="26"/>
      <c r="AA20" s="2" t="s">
        <v>25</v>
      </c>
      <c r="AB20" s="4">
        <v>430</v>
      </c>
      <c r="AC20" s="4">
        <v>430</v>
      </c>
      <c r="AD20" s="4">
        <v>430</v>
      </c>
      <c r="AE20" s="4">
        <v>430</v>
      </c>
      <c r="AF20" s="7">
        <f>IF(G36="YES",1,0)</f>
        <v>0</v>
      </c>
      <c r="AG20" s="8">
        <f t="shared" si="4"/>
        <v>0</v>
      </c>
      <c r="AH20" s="8">
        <f t="shared" si="5"/>
        <v>0</v>
      </c>
      <c r="AI20" s="8">
        <f t="shared" si="2"/>
        <v>0</v>
      </c>
      <c r="AJ20" s="8">
        <f t="shared" si="3"/>
        <v>0</v>
      </c>
    </row>
    <row r="21" spans="1:36" ht="15" customHeight="1" x14ac:dyDescent="0.2">
      <c r="A21" s="123" t="s">
        <v>1</v>
      </c>
      <c r="B21" s="123"/>
      <c r="C21" s="123"/>
      <c r="D21" s="123"/>
      <c r="E21" s="123"/>
      <c r="F21" s="189">
        <v>12345</v>
      </c>
      <c r="G21" s="190"/>
      <c r="I21" s="245" t="s">
        <v>113</v>
      </c>
      <c r="J21" s="246"/>
      <c r="K21" s="246"/>
      <c r="L21" s="246"/>
      <c r="M21" s="246"/>
      <c r="N21" s="246"/>
      <c r="O21" s="247"/>
      <c r="P21" s="251">
        <v>12</v>
      </c>
      <c r="Q21" s="228" t="s">
        <v>48</v>
      </c>
      <c r="R21" s="110" t="s">
        <v>151</v>
      </c>
      <c r="S21" s="111"/>
      <c r="T21" s="111"/>
      <c r="U21" s="111"/>
      <c r="V21" s="111"/>
      <c r="W21" s="111"/>
      <c r="X21" s="112"/>
      <c r="Y21" s="50"/>
      <c r="Z21" s="50"/>
      <c r="AA21" s="2"/>
      <c r="AB21" s="4"/>
      <c r="AC21" s="4"/>
      <c r="AD21" s="4"/>
      <c r="AE21" s="4"/>
      <c r="AF21" s="7"/>
      <c r="AG21" s="8">
        <f t="shared" si="4"/>
        <v>0</v>
      </c>
      <c r="AH21" s="8">
        <f t="shared" si="5"/>
        <v>0</v>
      </c>
      <c r="AI21" s="8">
        <f t="shared" si="2"/>
        <v>0</v>
      </c>
      <c r="AJ21" s="8">
        <f t="shared" si="3"/>
        <v>0</v>
      </c>
    </row>
    <row r="22" spans="1:36" ht="15" customHeight="1" x14ac:dyDescent="0.2">
      <c r="A22" s="124" t="s">
        <v>92</v>
      </c>
      <c r="B22" s="124"/>
      <c r="C22" s="124"/>
      <c r="D22" s="124"/>
      <c r="E22" s="124"/>
      <c r="F22" s="92">
        <v>0</v>
      </c>
      <c r="G22" s="93" t="s">
        <v>7</v>
      </c>
      <c r="I22" s="248"/>
      <c r="J22" s="249"/>
      <c r="K22" s="249"/>
      <c r="L22" s="249"/>
      <c r="M22" s="249"/>
      <c r="N22" s="249"/>
      <c r="O22" s="250"/>
      <c r="P22" s="252"/>
      <c r="Q22" s="229"/>
      <c r="R22" s="107"/>
      <c r="S22" s="108"/>
      <c r="T22" s="108"/>
      <c r="U22" s="108"/>
      <c r="V22" s="108"/>
      <c r="W22" s="108"/>
      <c r="X22" s="109"/>
      <c r="Y22" s="71"/>
      <c r="Z22" s="71"/>
      <c r="AA22" s="2" t="s">
        <v>26</v>
      </c>
      <c r="AB22" s="4">
        <v>60</v>
      </c>
      <c r="AC22" s="4">
        <v>80</v>
      </c>
      <c r="AD22" s="4">
        <v>80</v>
      </c>
      <c r="AE22" s="4">
        <v>80</v>
      </c>
      <c r="AF22" s="7">
        <f>G41</f>
        <v>0</v>
      </c>
      <c r="AG22" s="8">
        <f t="shared" si="4"/>
        <v>0</v>
      </c>
      <c r="AH22" s="8">
        <f t="shared" si="5"/>
        <v>0</v>
      </c>
      <c r="AI22" s="8">
        <f t="shared" si="2"/>
        <v>0</v>
      </c>
      <c r="AJ22" s="8">
        <f t="shared" si="3"/>
        <v>0</v>
      </c>
    </row>
    <row r="23" spans="1:36" ht="15" customHeight="1" x14ac:dyDescent="0.2">
      <c r="A23" s="123" t="s">
        <v>93</v>
      </c>
      <c r="B23" s="123"/>
      <c r="C23" s="123"/>
      <c r="D23" s="123"/>
      <c r="E23" s="123"/>
      <c r="F23" s="80">
        <v>0</v>
      </c>
      <c r="G23" s="79" t="s">
        <v>7</v>
      </c>
      <c r="I23" s="165" t="s">
        <v>114</v>
      </c>
      <c r="J23" s="166"/>
      <c r="K23" s="166"/>
      <c r="L23" s="166"/>
      <c r="M23" s="166"/>
      <c r="N23" s="166"/>
      <c r="O23" s="167"/>
      <c r="P23" s="175">
        <f>P19/(P21-P31)*0.9</f>
        <v>4.875</v>
      </c>
      <c r="Q23" s="164" t="s">
        <v>56</v>
      </c>
      <c r="R23" s="113" t="s">
        <v>158</v>
      </c>
      <c r="S23" s="114"/>
      <c r="T23" s="114"/>
      <c r="U23" s="114"/>
      <c r="V23" s="114"/>
      <c r="W23" s="114"/>
      <c r="X23" s="115"/>
      <c r="AA23" s="2" t="s">
        <v>27</v>
      </c>
      <c r="AB23" s="4">
        <v>0</v>
      </c>
      <c r="AC23" s="4">
        <v>15</v>
      </c>
      <c r="AD23" s="4">
        <v>15</v>
      </c>
      <c r="AE23" s="4">
        <v>15</v>
      </c>
      <c r="AF23" s="7">
        <f>G42</f>
        <v>0</v>
      </c>
      <c r="AG23" s="8">
        <f t="shared" si="4"/>
        <v>0</v>
      </c>
      <c r="AH23" s="8">
        <f t="shared" si="5"/>
        <v>0</v>
      </c>
      <c r="AI23" s="8">
        <f t="shared" si="2"/>
        <v>0</v>
      </c>
      <c r="AJ23" s="8">
        <f t="shared" si="3"/>
        <v>0</v>
      </c>
    </row>
    <row r="24" spans="1:36" ht="15" customHeight="1" x14ac:dyDescent="0.2">
      <c r="A24" s="124" t="s">
        <v>94</v>
      </c>
      <c r="B24" s="124"/>
      <c r="C24" s="124"/>
      <c r="D24" s="124"/>
      <c r="E24" s="124"/>
      <c r="F24" s="92">
        <v>0</v>
      </c>
      <c r="G24" s="93" t="s">
        <v>7</v>
      </c>
      <c r="I24" s="168"/>
      <c r="J24" s="169"/>
      <c r="K24" s="169"/>
      <c r="L24" s="169"/>
      <c r="M24" s="169"/>
      <c r="N24" s="169"/>
      <c r="O24" s="170"/>
      <c r="P24" s="161"/>
      <c r="Q24" s="163"/>
      <c r="R24" s="113"/>
      <c r="S24" s="114"/>
      <c r="T24" s="114"/>
      <c r="U24" s="114"/>
      <c r="V24" s="114"/>
      <c r="W24" s="114"/>
      <c r="X24" s="115"/>
      <c r="AA24" s="2" t="s">
        <v>143</v>
      </c>
      <c r="AB24" s="4">
        <v>60</v>
      </c>
      <c r="AC24" s="4">
        <v>80</v>
      </c>
      <c r="AD24" s="4">
        <v>88</v>
      </c>
      <c r="AE24" s="4">
        <v>8</v>
      </c>
      <c r="AF24" s="7">
        <f>G43</f>
        <v>0</v>
      </c>
      <c r="AG24" s="8">
        <f t="shared" si="4"/>
        <v>0</v>
      </c>
      <c r="AH24" s="8">
        <f t="shared" si="5"/>
        <v>0</v>
      </c>
      <c r="AI24" s="8">
        <f t="shared" si="2"/>
        <v>0</v>
      </c>
      <c r="AJ24" s="8">
        <f t="shared" si="3"/>
        <v>0</v>
      </c>
    </row>
    <row r="25" spans="1:36" ht="15" customHeight="1" x14ac:dyDescent="0.2">
      <c r="A25" s="123" t="s">
        <v>95</v>
      </c>
      <c r="B25" s="123"/>
      <c r="C25" s="123"/>
      <c r="D25" s="123"/>
      <c r="E25" s="123"/>
      <c r="F25" s="80">
        <v>0</v>
      </c>
      <c r="G25" s="79" t="s">
        <v>7</v>
      </c>
      <c r="AA25" s="2" t="s">
        <v>145</v>
      </c>
      <c r="AB25" s="4">
        <v>53</v>
      </c>
      <c r="AC25" s="4">
        <v>53</v>
      </c>
      <c r="AD25" s="4">
        <v>75</v>
      </c>
      <c r="AE25" s="4">
        <v>75</v>
      </c>
      <c r="AF25" s="7">
        <f>G44</f>
        <v>0</v>
      </c>
      <c r="AG25" s="8">
        <f t="shared" si="4"/>
        <v>0</v>
      </c>
      <c r="AH25" s="8">
        <f t="shared" si="5"/>
        <v>0</v>
      </c>
      <c r="AI25" s="8">
        <f t="shared" si="2"/>
        <v>0</v>
      </c>
      <c r="AJ25" s="8">
        <f t="shared" si="3"/>
        <v>0</v>
      </c>
    </row>
    <row r="26" spans="1:36" ht="15" customHeight="1" x14ac:dyDescent="0.2">
      <c r="I26" s="141" t="s">
        <v>109</v>
      </c>
      <c r="J26" s="142"/>
      <c r="K26" s="142"/>
      <c r="L26" s="142"/>
      <c r="M26" s="142"/>
      <c r="N26" s="142"/>
      <c r="O26" s="143"/>
      <c r="P26" s="160">
        <f>MAX(AB27:AE27)</f>
        <v>0</v>
      </c>
      <c r="Q26" s="162" t="s">
        <v>48</v>
      </c>
      <c r="R26" s="116" t="s">
        <v>152</v>
      </c>
      <c r="S26" s="117"/>
      <c r="T26" s="117"/>
      <c r="U26" s="117"/>
      <c r="V26" s="117"/>
      <c r="W26" s="117"/>
      <c r="X26" s="118"/>
      <c r="AA26" s="2">
        <f>F21</f>
        <v>12345</v>
      </c>
      <c r="AB26" s="3">
        <f>F22</f>
        <v>0</v>
      </c>
      <c r="AC26" s="3">
        <f>F23</f>
        <v>0</v>
      </c>
      <c r="AD26" s="3">
        <f>F24</f>
        <v>0</v>
      </c>
      <c r="AE26" s="3">
        <f>F25</f>
        <v>0</v>
      </c>
      <c r="AF26" s="7">
        <f>G45</f>
        <v>0</v>
      </c>
      <c r="AG26" s="8">
        <f t="shared" si="4"/>
        <v>0</v>
      </c>
      <c r="AH26" s="8">
        <f t="shared" si="5"/>
        <v>0</v>
      </c>
      <c r="AI26" s="8">
        <f t="shared" si="2"/>
        <v>0</v>
      </c>
      <c r="AJ26" s="8">
        <f t="shared" si="3"/>
        <v>0</v>
      </c>
    </row>
    <row r="27" spans="1:36" ht="15" customHeight="1" x14ac:dyDescent="0.2">
      <c r="A27" s="207" t="s">
        <v>121</v>
      </c>
      <c r="B27" s="208"/>
      <c r="C27" s="209"/>
      <c r="D27" s="207" t="s">
        <v>122</v>
      </c>
      <c r="E27" s="208"/>
      <c r="F27" s="209"/>
      <c r="G27" s="203" t="s">
        <v>138</v>
      </c>
      <c r="I27" s="144"/>
      <c r="J27" s="145"/>
      <c r="K27" s="145"/>
      <c r="L27" s="145"/>
      <c r="M27" s="145"/>
      <c r="N27" s="145"/>
      <c r="O27" s="146"/>
      <c r="P27" s="161"/>
      <c r="Q27" s="163"/>
      <c r="R27" s="116"/>
      <c r="S27" s="117"/>
      <c r="T27" s="117"/>
      <c r="U27" s="117"/>
      <c r="V27" s="117"/>
      <c r="W27" s="117"/>
      <c r="X27" s="118"/>
      <c r="AA27" s="6"/>
      <c r="AB27" s="10">
        <f>IF(F14=0,0,AB50/F14*60)</f>
        <v>0</v>
      </c>
      <c r="AC27" s="10">
        <f>IF(F15=0,0,AC50/F15*60)</f>
        <v>0</v>
      </c>
      <c r="AD27" s="10">
        <f>IF(F16=0,0,AD50/F16*60)</f>
        <v>0</v>
      </c>
      <c r="AE27" s="10">
        <f>IF(F17=0,0,AE50/F17*60)</f>
        <v>0</v>
      </c>
      <c r="AF27" s="11"/>
      <c r="AG27" s="10">
        <f>SUM(AG8:AG26)/1000</f>
        <v>0</v>
      </c>
      <c r="AH27" s="10">
        <f>SUM(AH8:AH26)/1000</f>
        <v>0</v>
      </c>
      <c r="AI27" s="10">
        <f>SUM(AI8:AI26)/1000</f>
        <v>0</v>
      </c>
      <c r="AJ27" s="10">
        <f>SUM(AJ8:AJ26)/1000</f>
        <v>0</v>
      </c>
    </row>
    <row r="28" spans="1:36" ht="15" customHeight="1" x14ac:dyDescent="0.2">
      <c r="A28" s="210"/>
      <c r="B28" s="211"/>
      <c r="C28" s="212"/>
      <c r="D28" s="210"/>
      <c r="E28" s="211"/>
      <c r="F28" s="212"/>
      <c r="G28" s="204"/>
      <c r="I28" s="213" t="s">
        <v>110</v>
      </c>
      <c r="J28" s="214"/>
      <c r="K28" s="214"/>
      <c r="L28" s="214"/>
      <c r="M28" s="214"/>
      <c r="N28" s="214"/>
      <c r="O28" s="215"/>
      <c r="P28" s="84">
        <f>AH50/1000</f>
        <v>0</v>
      </c>
      <c r="Q28" s="85" t="s">
        <v>48</v>
      </c>
      <c r="X28" s="51"/>
      <c r="Y28" s="51"/>
      <c r="AA28" s="6"/>
      <c r="AB28" s="6"/>
      <c r="AC28" s="6"/>
      <c r="AD28" s="6"/>
      <c r="AE28" s="6"/>
      <c r="AF28" s="6"/>
      <c r="AG28" s="6"/>
      <c r="AH28" s="6"/>
      <c r="AI28" s="6"/>
      <c r="AJ28" s="6"/>
    </row>
    <row r="29" spans="1:36" ht="15" customHeight="1" x14ac:dyDescent="0.2">
      <c r="A29" s="206" t="s">
        <v>125</v>
      </c>
      <c r="B29" s="206"/>
      <c r="C29" s="206"/>
      <c r="D29" s="205" t="s">
        <v>20</v>
      </c>
      <c r="E29" s="205"/>
      <c r="F29" s="205"/>
      <c r="G29" s="81" t="s">
        <v>120</v>
      </c>
      <c r="I29" s="157" t="s">
        <v>111</v>
      </c>
      <c r="J29" s="158"/>
      <c r="K29" s="158"/>
      <c r="L29" s="158"/>
      <c r="M29" s="158"/>
      <c r="N29" s="158"/>
      <c r="O29" s="159"/>
      <c r="P29" s="97">
        <f>(AH50/1000)*2</f>
        <v>0</v>
      </c>
      <c r="Q29" s="98" t="s">
        <v>48</v>
      </c>
      <c r="X29" s="51"/>
      <c r="Y29" s="51"/>
      <c r="AA29" s="6"/>
      <c r="AB29" s="188" t="s">
        <v>39</v>
      </c>
      <c r="AC29" s="188"/>
      <c r="AD29" s="188"/>
      <c r="AE29" s="188"/>
      <c r="AF29" s="188"/>
      <c r="AG29" s="10">
        <f>AH27-(AH17+AH18+AH20)/1000</f>
        <v>0</v>
      </c>
      <c r="AH29" s="6"/>
      <c r="AI29" s="6"/>
      <c r="AJ29" s="24"/>
    </row>
    <row r="30" spans="1:36" ht="15" customHeight="1" x14ac:dyDescent="0.2">
      <c r="A30" s="254" t="s">
        <v>97</v>
      </c>
      <c r="B30" s="255"/>
      <c r="C30" s="255"/>
      <c r="D30" s="255"/>
      <c r="E30" s="255"/>
      <c r="F30" s="256"/>
      <c r="G30" s="94" t="s">
        <v>120</v>
      </c>
      <c r="X30" s="48"/>
      <c r="Y30" s="48"/>
      <c r="Z30" s="73" t="s">
        <v>119</v>
      </c>
      <c r="AA30" s="1"/>
      <c r="AB30" s="1"/>
      <c r="AC30" s="1"/>
      <c r="AD30" s="1"/>
      <c r="AE30" s="1"/>
      <c r="AF30" s="1"/>
      <c r="AG30" s="1"/>
      <c r="AH30" s="1"/>
      <c r="AI30" s="1"/>
      <c r="AJ30" s="24"/>
    </row>
    <row r="31" spans="1:36" ht="15" customHeight="1" x14ac:dyDescent="0.2">
      <c r="A31" s="138" t="s">
        <v>101</v>
      </c>
      <c r="B31" s="139"/>
      <c r="C31" s="139"/>
      <c r="D31" s="139"/>
      <c r="E31" s="139"/>
      <c r="F31" s="140"/>
      <c r="G31" s="81">
        <v>0</v>
      </c>
      <c r="I31" s="176" t="s">
        <v>112</v>
      </c>
      <c r="J31" s="177"/>
      <c r="K31" s="177"/>
      <c r="L31" s="177"/>
      <c r="M31" s="177"/>
      <c r="N31" s="177"/>
      <c r="O31" s="178"/>
      <c r="P31" s="160">
        <f>AG29</f>
        <v>0</v>
      </c>
      <c r="Q31" s="162" t="s">
        <v>48</v>
      </c>
      <c r="R31" s="49"/>
      <c r="V31" s="36"/>
      <c r="W31" s="37"/>
      <c r="X31" s="48"/>
      <c r="Y31" s="48"/>
      <c r="Z31" s="73" t="s">
        <v>120</v>
      </c>
      <c r="AA31" s="234" t="s">
        <v>8</v>
      </c>
      <c r="AB31" s="218" t="s">
        <v>10</v>
      </c>
      <c r="AC31" s="219"/>
      <c r="AD31" s="219"/>
      <c r="AE31" s="220"/>
      <c r="AF31" s="221" t="s">
        <v>11</v>
      </c>
      <c r="AG31" s="216" t="s">
        <v>12</v>
      </c>
      <c r="AH31" s="217"/>
      <c r="AI31" s="1"/>
      <c r="AJ31" s="1"/>
    </row>
    <row r="32" spans="1:36" ht="15" customHeight="1" x14ac:dyDescent="0.2">
      <c r="A32" s="124" t="s">
        <v>21</v>
      </c>
      <c r="B32" s="124"/>
      <c r="C32" s="124"/>
      <c r="D32" s="257" t="s">
        <v>98</v>
      </c>
      <c r="E32" s="257"/>
      <c r="F32" s="257"/>
      <c r="G32" s="94" t="s">
        <v>120</v>
      </c>
      <c r="I32" s="168"/>
      <c r="J32" s="169"/>
      <c r="K32" s="169"/>
      <c r="L32" s="169"/>
      <c r="M32" s="169"/>
      <c r="N32" s="169"/>
      <c r="O32" s="170"/>
      <c r="P32" s="161"/>
      <c r="Q32" s="163"/>
      <c r="X32" s="48"/>
      <c r="Y32" s="48"/>
      <c r="Z32" s="17">
        <v>0</v>
      </c>
      <c r="AA32" s="235"/>
      <c r="AB32" s="74" t="s">
        <v>13</v>
      </c>
      <c r="AC32" s="74" t="s">
        <v>61</v>
      </c>
      <c r="AD32" s="74" t="s">
        <v>15</v>
      </c>
      <c r="AE32" s="74" t="s">
        <v>16</v>
      </c>
      <c r="AF32" s="222"/>
      <c r="AG32" s="18" t="s">
        <v>17</v>
      </c>
      <c r="AH32" s="19" t="s">
        <v>18</v>
      </c>
      <c r="AI32" s="1"/>
      <c r="AJ32" s="1"/>
    </row>
    <row r="33" spans="1:34" ht="15" customHeight="1" x14ac:dyDescent="0.2">
      <c r="A33" s="123" t="s">
        <v>22</v>
      </c>
      <c r="B33" s="123"/>
      <c r="C33" s="123"/>
      <c r="D33" s="253" t="s">
        <v>99</v>
      </c>
      <c r="E33" s="253"/>
      <c r="F33" s="253"/>
      <c r="G33" s="81">
        <v>0</v>
      </c>
      <c r="T33" s="75"/>
      <c r="X33" s="51"/>
      <c r="Y33" s="51"/>
      <c r="Z33" s="17">
        <v>1</v>
      </c>
      <c r="AA33" s="54" t="s">
        <v>19</v>
      </c>
      <c r="AB33" s="20">
        <f>(F14*IF(G29="YES",1,0)*AB8)/60000</f>
        <v>0</v>
      </c>
      <c r="AC33" s="20">
        <f>(F15*IF(G29="YES",1,0)*AC8)/60000</f>
        <v>0</v>
      </c>
      <c r="AD33" s="20">
        <f>(F16*IF(G29="YES",1,0)*AD8)/60000</f>
        <v>0</v>
      </c>
      <c r="AE33" s="20">
        <f>(F17*IF(G29="YES",1,0)*AE8)/60000</f>
        <v>0</v>
      </c>
      <c r="AF33" s="20">
        <f t="shared" ref="AF33:AF39" si="6">SUM(AB33:AE33)</f>
        <v>0</v>
      </c>
      <c r="AG33" s="27">
        <f>IF(G29="YES",AE8,0)*24/0.85/230</f>
        <v>0</v>
      </c>
      <c r="AH33" s="27">
        <f>IF(G29="YES",AE8,0)*24/0.85/230</f>
        <v>0</v>
      </c>
    </row>
    <row r="34" spans="1:34" ht="15" customHeight="1" x14ac:dyDescent="0.2">
      <c r="A34" s="128" t="s">
        <v>126</v>
      </c>
      <c r="B34" s="128"/>
      <c r="C34" s="128"/>
      <c r="D34" s="129" t="s">
        <v>100</v>
      </c>
      <c r="E34" s="129"/>
      <c r="F34" s="129"/>
      <c r="G34" s="94">
        <v>0</v>
      </c>
      <c r="I34" s="181" t="s">
        <v>164</v>
      </c>
      <c r="J34" s="182"/>
      <c r="K34" s="182"/>
      <c r="L34" s="182"/>
      <c r="M34" s="183"/>
      <c r="N34" s="179" t="s">
        <v>13</v>
      </c>
      <c r="O34" s="133" t="s">
        <v>123</v>
      </c>
      <c r="P34" s="179" t="s">
        <v>124</v>
      </c>
      <c r="Q34" s="133" t="s">
        <v>35</v>
      </c>
      <c r="X34" s="51"/>
      <c r="Y34" s="51"/>
      <c r="Z34" s="17">
        <v>2</v>
      </c>
      <c r="AA34" s="55" t="s">
        <v>80</v>
      </c>
      <c r="AB34" s="21">
        <f>(F14*IF(G30="YES",1,0)*200)/60000</f>
        <v>0</v>
      </c>
      <c r="AC34" s="21">
        <f>(F15*IF(G30="YES",1,0)*200)/60000</f>
        <v>0</v>
      </c>
      <c r="AD34" s="21">
        <f>(F16*IF(G30="YES",1,0)*200)/60000</f>
        <v>0</v>
      </c>
      <c r="AE34" s="21">
        <f>(F17*IF(G30="YES",1,0)*200)/60000</f>
        <v>0</v>
      </c>
      <c r="AF34" s="21">
        <f t="shared" si="6"/>
        <v>0</v>
      </c>
      <c r="AG34" s="28">
        <f>IF(G30="YES",200,0)*24/0.85/230</f>
        <v>0</v>
      </c>
      <c r="AH34" s="28">
        <f>IF(G30="YES",200,0)*24/0.85/230</f>
        <v>0</v>
      </c>
    </row>
    <row r="35" spans="1:34" ht="15" customHeight="1" x14ac:dyDescent="0.2">
      <c r="A35" s="138" t="s">
        <v>101</v>
      </c>
      <c r="B35" s="139"/>
      <c r="C35" s="139"/>
      <c r="D35" s="139"/>
      <c r="E35" s="139"/>
      <c r="F35" s="140"/>
      <c r="G35" s="82">
        <v>0</v>
      </c>
      <c r="I35" s="184"/>
      <c r="J35" s="185"/>
      <c r="K35" s="185"/>
      <c r="L35" s="185"/>
      <c r="M35" s="186"/>
      <c r="N35" s="180"/>
      <c r="O35" s="134"/>
      <c r="P35" s="180"/>
      <c r="Q35" s="134"/>
      <c r="X35" s="52"/>
      <c r="Y35" s="52"/>
      <c r="Z35" s="17">
        <v>3</v>
      </c>
      <c r="AA35" s="54" t="s">
        <v>81</v>
      </c>
      <c r="AB35" s="20">
        <f>(F14*G31*40)/60000</f>
        <v>0</v>
      </c>
      <c r="AC35" s="20">
        <f>(F15*G31*40)/60000</f>
        <v>0</v>
      </c>
      <c r="AD35" s="20">
        <f>(F16*G31*40)/60000</f>
        <v>0</v>
      </c>
      <c r="AE35" s="20">
        <f>(F17*G31*40)/60000</f>
        <v>0</v>
      </c>
      <c r="AF35" s="20">
        <f t="shared" si="6"/>
        <v>0</v>
      </c>
      <c r="AG35" s="27">
        <f>IF(G31=0,0,40)*24/0.85/230</f>
        <v>0</v>
      </c>
      <c r="AH35" s="27">
        <f>AG35*G31</f>
        <v>0</v>
      </c>
    </row>
    <row r="36" spans="1:34" ht="15" customHeight="1" x14ac:dyDescent="0.2">
      <c r="A36" s="132" t="s">
        <v>25</v>
      </c>
      <c r="B36" s="132"/>
      <c r="C36" s="132"/>
      <c r="D36" s="131" t="s">
        <v>102</v>
      </c>
      <c r="E36" s="131"/>
      <c r="F36" s="131"/>
      <c r="G36" s="94" t="s">
        <v>120</v>
      </c>
      <c r="I36" s="171" t="s">
        <v>165</v>
      </c>
      <c r="J36" s="172"/>
      <c r="K36" s="172"/>
      <c r="L36" s="172"/>
      <c r="M36" s="86" t="s">
        <v>6</v>
      </c>
      <c r="N36" s="87">
        <f>((SUM(AG8:AG14,AG20:AG26))+((G40/100^2*8^2)*0.52/24*1000))/1000*24/0.7</f>
        <v>0</v>
      </c>
      <c r="O36" s="87">
        <f>((SUM(AH8:AH14,AH20:AH26))+((H20/100^2*8^2)*0.52/24*1000))/1000*24/0.7</f>
        <v>0</v>
      </c>
      <c r="P36" s="87">
        <f>(SUM(AI8:AI14,AI20:AI26))/1000*24/0.7</f>
        <v>0</v>
      </c>
      <c r="Q36" s="88">
        <f>(SUM(AJ8:AJ14,AJ20:AJ26))/1000*24/0.7</f>
        <v>0</v>
      </c>
      <c r="R36" s="47"/>
      <c r="X36" s="53"/>
      <c r="Y36" s="53"/>
      <c r="Z36" s="17">
        <v>4</v>
      </c>
      <c r="AA36" s="55" t="s">
        <v>21</v>
      </c>
      <c r="AB36" s="21">
        <f>(F14*IF(G32="YES",1,0)*AB11)/60000</f>
        <v>0</v>
      </c>
      <c r="AC36" s="21">
        <f>(F15*IF(G32="YES",1,0)*AC11)/60000</f>
        <v>0</v>
      </c>
      <c r="AD36" s="21">
        <f>(F16*IF(G32="YES",1,0)*AD11)/60000</f>
        <v>0</v>
      </c>
      <c r="AE36" s="21">
        <f>(F17*IF(G32="YES",1,0)*AE11)/60000</f>
        <v>0</v>
      </c>
      <c r="AF36" s="21">
        <f t="shared" si="6"/>
        <v>0</v>
      </c>
      <c r="AG36" s="28">
        <f>IF(G32="YES",AE11,0)*24/0.85/230</f>
        <v>0</v>
      </c>
      <c r="AH36" s="28">
        <f>IF(G32="YES",AE11,0)*24/0.85/230</f>
        <v>0</v>
      </c>
    </row>
    <row r="37" spans="1:34" ht="15" customHeight="1" x14ac:dyDescent="0.2">
      <c r="A37" s="122" t="s">
        <v>127</v>
      </c>
      <c r="B37" s="122"/>
      <c r="C37" s="122"/>
      <c r="D37" s="130" t="s">
        <v>103</v>
      </c>
      <c r="E37" s="130"/>
      <c r="F37" s="130"/>
      <c r="G37" s="82">
        <v>0</v>
      </c>
      <c r="I37" s="173" t="s">
        <v>161</v>
      </c>
      <c r="J37" s="174"/>
      <c r="K37" s="174"/>
      <c r="L37" s="174"/>
      <c r="M37" s="99" t="s">
        <v>6</v>
      </c>
      <c r="N37" s="100">
        <f>AG17/1000*24</f>
        <v>0</v>
      </c>
      <c r="O37" s="100">
        <f>AH17/1000*24</f>
        <v>0</v>
      </c>
      <c r="P37" s="100">
        <f>((AI17)+(G39/100^2*32^2)*0.52/24*1000)/1000*24</f>
        <v>0</v>
      </c>
      <c r="Q37" s="101">
        <f>((AJ17)+(G39/100^2*70.71^2)*0.52/24*1000)/1000*24</f>
        <v>0</v>
      </c>
      <c r="R37" s="47"/>
      <c r="X37" s="53"/>
      <c r="Y37" s="53"/>
      <c r="Z37" s="17">
        <v>5</v>
      </c>
      <c r="AA37" s="56" t="s">
        <v>22</v>
      </c>
      <c r="AB37" s="20">
        <f>(F14*G33*AB12)/60000</f>
        <v>0</v>
      </c>
      <c r="AC37" s="20">
        <f>(F15*G33*AC12)/60000</f>
        <v>0</v>
      </c>
      <c r="AD37" s="20">
        <f>(F16*G33*AD12)/60000</f>
        <v>0</v>
      </c>
      <c r="AE37" s="20">
        <f>(F17*G33*AE12)/60000</f>
        <v>0</v>
      </c>
      <c r="AF37" s="20">
        <f t="shared" si="6"/>
        <v>0</v>
      </c>
      <c r="AG37" s="27">
        <f>IF(G33=0,0,AE12)*24/0.85/230</f>
        <v>0</v>
      </c>
      <c r="AH37" s="27">
        <f>AG37*G33</f>
        <v>0</v>
      </c>
    </row>
    <row r="38" spans="1:34" ht="15" customHeight="1" x14ac:dyDescent="0.2">
      <c r="A38" s="135" t="s">
        <v>147</v>
      </c>
      <c r="B38" s="136"/>
      <c r="C38" s="136"/>
      <c r="D38" s="136"/>
      <c r="E38" s="136"/>
      <c r="F38" s="137"/>
      <c r="G38" s="95"/>
      <c r="I38" s="141" t="s">
        <v>117</v>
      </c>
      <c r="J38" s="142"/>
      <c r="K38" s="142"/>
      <c r="L38" s="143"/>
      <c r="M38" s="147" t="s">
        <v>60</v>
      </c>
      <c r="N38" s="149">
        <f>(N36+N37)/0.29307107</f>
        <v>0</v>
      </c>
      <c r="O38" s="149">
        <f>(O36+O37)/0.29307107</f>
        <v>0</v>
      </c>
      <c r="P38" s="149">
        <f>(P36+P37)/0.29307107</f>
        <v>0</v>
      </c>
      <c r="Q38" s="149">
        <f>(Q36+Q37)/0.29307107</f>
        <v>0</v>
      </c>
      <c r="R38" s="49"/>
      <c r="V38" s="36"/>
      <c r="W38" s="37"/>
      <c r="Z38" s="17">
        <v>6</v>
      </c>
      <c r="AA38" s="57" t="s">
        <v>23</v>
      </c>
      <c r="AB38" s="21">
        <f>(F14*G34*AB13)/60000</f>
        <v>0</v>
      </c>
      <c r="AC38" s="21">
        <f>(F15*G34*AC13)/60000</f>
        <v>0</v>
      </c>
      <c r="AD38" s="21">
        <f>(F16*G34*AD13)/60000</f>
        <v>0</v>
      </c>
      <c r="AE38" s="21">
        <f>(F17*G34*AE13)/60000</f>
        <v>0</v>
      </c>
      <c r="AF38" s="21">
        <f t="shared" si="6"/>
        <v>0</v>
      </c>
      <c r="AG38" s="28">
        <f>IF(G34=0,0,AE13)*24/0.85/230</f>
        <v>0</v>
      </c>
      <c r="AH38" s="28">
        <f>AG38*G34</f>
        <v>0</v>
      </c>
    </row>
    <row r="39" spans="1:34" ht="15" customHeight="1" x14ac:dyDescent="0.2">
      <c r="A39" s="242" t="s">
        <v>104</v>
      </c>
      <c r="B39" s="243"/>
      <c r="C39" s="243"/>
      <c r="D39" s="243"/>
      <c r="E39" s="243"/>
      <c r="F39" s="244"/>
      <c r="G39" s="83">
        <v>0</v>
      </c>
      <c r="I39" s="144"/>
      <c r="J39" s="145"/>
      <c r="K39" s="145"/>
      <c r="L39" s="146"/>
      <c r="M39" s="148"/>
      <c r="N39" s="150"/>
      <c r="O39" s="150"/>
      <c r="P39" s="150"/>
      <c r="Q39" s="150"/>
      <c r="X39" s="53"/>
      <c r="Y39" s="53"/>
      <c r="Z39" s="17">
        <v>7</v>
      </c>
      <c r="AA39" s="54" t="s">
        <v>81</v>
      </c>
      <c r="AB39" s="20">
        <f>(F14*G35*40)/60000</f>
        <v>0</v>
      </c>
      <c r="AC39" s="20">
        <f>(F15*G35*40)/60000</f>
        <v>0</v>
      </c>
      <c r="AD39" s="20">
        <f>(F16*G35*40)/60000</f>
        <v>0</v>
      </c>
      <c r="AE39" s="20">
        <f>(F17*G35*40)/60000</f>
        <v>0</v>
      </c>
      <c r="AF39" s="20">
        <f t="shared" si="6"/>
        <v>0</v>
      </c>
      <c r="AG39" s="27">
        <f>IF(G35=0,0,40)*24/0.85/230</f>
        <v>0</v>
      </c>
      <c r="AH39" s="27">
        <f>AG39*G35</f>
        <v>0</v>
      </c>
    </row>
    <row r="40" spans="1:34" ht="15" customHeight="1" x14ac:dyDescent="0.2">
      <c r="A40" s="125" t="s">
        <v>105</v>
      </c>
      <c r="B40" s="126"/>
      <c r="C40" s="126"/>
      <c r="D40" s="126"/>
      <c r="E40" s="126"/>
      <c r="F40" s="127"/>
      <c r="G40" s="96">
        <v>0</v>
      </c>
      <c r="X40" s="53"/>
      <c r="Y40" s="53"/>
      <c r="Z40" s="17">
        <v>8</v>
      </c>
      <c r="AA40" s="58" t="s">
        <v>25</v>
      </c>
      <c r="AB40" s="21">
        <f>(F14*(IF(G36="YES",1,0)*AB20))/60000</f>
        <v>0</v>
      </c>
      <c r="AC40" s="21">
        <f>(F15*(IF(G36="YES",1,0)*AC20))/60000</f>
        <v>0</v>
      </c>
      <c r="AD40" s="21">
        <f>(F16*(IF(G36="YES",1,0)*AD20))/60000</f>
        <v>0</v>
      </c>
      <c r="AE40" s="21">
        <f>(F17*(IF(G36="YES",1,0)*AE20))/60000</f>
        <v>0</v>
      </c>
      <c r="AF40" s="21">
        <f>SUM(AB40:AE40)</f>
        <v>0</v>
      </c>
      <c r="AG40" s="41">
        <f>IF(G36="YES",2000,0)</f>
        <v>0</v>
      </c>
      <c r="AH40" s="41">
        <f>IF(G36="YES",2000,0)</f>
        <v>0</v>
      </c>
    </row>
    <row r="41" spans="1:34" ht="15" customHeight="1" x14ac:dyDescent="0.2">
      <c r="A41" s="122" t="s">
        <v>128</v>
      </c>
      <c r="B41" s="122"/>
      <c r="C41" s="122"/>
      <c r="D41" s="130" t="s">
        <v>106</v>
      </c>
      <c r="E41" s="130"/>
      <c r="F41" s="130"/>
      <c r="G41" s="81">
        <v>0</v>
      </c>
      <c r="I41" s="120" t="s">
        <v>159</v>
      </c>
      <c r="J41" s="120"/>
      <c r="K41" s="120"/>
      <c r="L41" s="120"/>
      <c r="M41" s="120"/>
      <c r="N41" s="120"/>
      <c r="O41" s="120"/>
      <c r="P41" s="120"/>
      <c r="Q41" s="120"/>
      <c r="Z41" s="17">
        <v>9</v>
      </c>
      <c r="AA41" s="59" t="s">
        <v>24</v>
      </c>
      <c r="AB41" s="20">
        <f>(F14*G37*AB17)/60000</f>
        <v>0</v>
      </c>
      <c r="AC41" s="20">
        <f>(F15*G37*AC17)/60000</f>
        <v>0</v>
      </c>
      <c r="AD41" s="20">
        <f>(F16*G37*AD17)/60000</f>
        <v>0</v>
      </c>
      <c r="AE41" s="20">
        <f>(F17*G37*AE17)/60000</f>
        <v>0</v>
      </c>
      <c r="AF41" s="20">
        <f>SUM(AB41:AE41)</f>
        <v>0</v>
      </c>
      <c r="AG41" s="27">
        <f>IF(G37=0,0,AE17)*24/0.85/230</f>
        <v>0</v>
      </c>
      <c r="AH41" s="27">
        <f>AG41*G37</f>
        <v>0</v>
      </c>
    </row>
    <row r="42" spans="1:34" ht="15" customHeight="1" x14ac:dyDescent="0.2">
      <c r="A42" s="132" t="s">
        <v>129</v>
      </c>
      <c r="B42" s="132"/>
      <c r="C42" s="132"/>
      <c r="D42" s="131" t="s">
        <v>107</v>
      </c>
      <c r="E42" s="131"/>
      <c r="F42" s="131"/>
      <c r="G42" s="94">
        <v>0</v>
      </c>
      <c r="I42" s="120"/>
      <c r="J42" s="120"/>
      <c r="K42" s="120"/>
      <c r="L42" s="120"/>
      <c r="M42" s="120"/>
      <c r="N42" s="120"/>
      <c r="O42" s="120"/>
      <c r="P42" s="120"/>
      <c r="Q42" s="120"/>
      <c r="Z42" s="17">
        <v>10</v>
      </c>
      <c r="AA42" s="64"/>
      <c r="AB42" s="45"/>
      <c r="AC42" s="45"/>
      <c r="AD42" s="45"/>
      <c r="AE42" s="45"/>
      <c r="AF42" s="45"/>
      <c r="AG42" s="32"/>
      <c r="AH42" s="32"/>
    </row>
    <row r="43" spans="1:34" ht="15" customHeight="1" x14ac:dyDescent="0.2">
      <c r="A43" s="122" t="s">
        <v>140</v>
      </c>
      <c r="B43" s="122"/>
      <c r="C43" s="122"/>
      <c r="D43" s="130" t="s">
        <v>142</v>
      </c>
      <c r="E43" s="130"/>
      <c r="F43" s="130"/>
      <c r="G43" s="81">
        <v>0</v>
      </c>
      <c r="H43" s="35"/>
      <c r="Z43" s="17">
        <v>11</v>
      </c>
      <c r="AA43" s="62" t="s">
        <v>78</v>
      </c>
      <c r="AB43" s="42"/>
      <c r="AC43" s="42"/>
      <c r="AD43" s="20">
        <f>(F16*AD18)/60000</f>
        <v>0</v>
      </c>
      <c r="AE43" s="20">
        <f>(F17*AE18)/60000</f>
        <v>0</v>
      </c>
      <c r="AF43" s="20">
        <f>SUM(AD43:AE43)</f>
        <v>0</v>
      </c>
      <c r="AG43" s="27">
        <f>IF(G39=0,0,AE18)*24/0.95/230</f>
        <v>0</v>
      </c>
      <c r="AH43" s="27">
        <f>IF(G39=0,0,AE18)*24/0.95/230</f>
        <v>0</v>
      </c>
    </row>
    <row r="44" spans="1:34" ht="15" customHeight="1" x14ac:dyDescent="0.2">
      <c r="A44" s="132" t="s">
        <v>145</v>
      </c>
      <c r="B44" s="132"/>
      <c r="C44" s="132"/>
      <c r="D44" s="131" t="s">
        <v>146</v>
      </c>
      <c r="E44" s="131"/>
      <c r="F44" s="131"/>
      <c r="G44" s="94">
        <v>0</v>
      </c>
      <c r="H44" s="35"/>
      <c r="I44" s="121" t="s">
        <v>118</v>
      </c>
      <c r="J44" s="121"/>
      <c r="K44" s="121"/>
      <c r="L44" s="121"/>
      <c r="M44" s="121"/>
      <c r="N44" s="121"/>
      <c r="O44" s="121"/>
      <c r="P44" s="121"/>
      <c r="Q44" s="121"/>
      <c r="Z44" s="17">
        <v>12</v>
      </c>
      <c r="AA44" s="63" t="s">
        <v>79</v>
      </c>
      <c r="AB44" s="21">
        <f>(F14*AB15)/60000</f>
        <v>0</v>
      </c>
      <c r="AC44" s="30">
        <f>(F15*AC15)/60000</f>
        <v>0</v>
      </c>
      <c r="AD44" s="31"/>
      <c r="AE44" s="31"/>
      <c r="AF44" s="21">
        <f>SUM(AB44:AC44)</f>
        <v>0</v>
      </c>
      <c r="AG44" s="32"/>
      <c r="AH44" s="32"/>
    </row>
    <row r="45" spans="1:34" ht="15" customHeight="1" x14ac:dyDescent="0.2">
      <c r="A45" s="122">
        <f>F21</f>
        <v>12345</v>
      </c>
      <c r="B45" s="122"/>
      <c r="C45" s="122"/>
      <c r="D45" s="130"/>
      <c r="E45" s="130"/>
      <c r="F45" s="130"/>
      <c r="G45" s="81">
        <v>0</v>
      </c>
      <c r="H45" s="35"/>
      <c r="I45" s="121"/>
      <c r="J45" s="121"/>
      <c r="K45" s="121"/>
      <c r="L45" s="121"/>
      <c r="M45" s="121"/>
      <c r="N45" s="121"/>
      <c r="O45" s="121"/>
      <c r="P45" s="121"/>
      <c r="Q45" s="121"/>
      <c r="X45" s="37"/>
      <c r="Y45" s="37"/>
      <c r="Z45" s="17">
        <v>13</v>
      </c>
      <c r="AA45" s="59" t="s">
        <v>26</v>
      </c>
      <c r="AB45" s="20">
        <f>(F14*G41*AB22)/60000</f>
        <v>0</v>
      </c>
      <c r="AC45" s="20">
        <f>(F15*G41*AC22)/60000</f>
        <v>0</v>
      </c>
      <c r="AD45" s="20">
        <f>(F16*G41*AD22)/60000</f>
        <v>0</v>
      </c>
      <c r="AE45" s="20">
        <f>(F17*G41*AE22)/60000</f>
        <v>0</v>
      </c>
      <c r="AF45" s="20">
        <f t="shared" ref="AF45:AF50" si="7">SUM(AB45:AE45)</f>
        <v>0</v>
      </c>
      <c r="AG45" s="27">
        <f>IF(G41=0,0,AE22)*24/0.85/230</f>
        <v>0</v>
      </c>
      <c r="AH45" s="27">
        <f>AG45*G41</f>
        <v>0</v>
      </c>
    </row>
    <row r="46" spans="1:34" ht="15" customHeight="1" x14ac:dyDescent="0.2">
      <c r="X46" s="37"/>
      <c r="Y46" s="37"/>
      <c r="Z46" s="17">
        <v>14</v>
      </c>
      <c r="AA46" s="58" t="s">
        <v>27</v>
      </c>
      <c r="AB46" s="21">
        <f>(F14*G42*AB23)/60000</f>
        <v>0</v>
      </c>
      <c r="AC46" s="21">
        <f>(F15*G42*AC23)/60000</f>
        <v>0</v>
      </c>
      <c r="AD46" s="41">
        <f>(F16*G42*AD23)/60000</f>
        <v>0</v>
      </c>
      <c r="AE46" s="21">
        <f>(F17*G42*AE23)/60000</f>
        <v>0</v>
      </c>
      <c r="AF46" s="21">
        <f t="shared" si="7"/>
        <v>0</v>
      </c>
      <c r="AG46" s="28">
        <f>IF(G42=0,0,AE23)*24/0.85/230</f>
        <v>0</v>
      </c>
      <c r="AH46" s="28">
        <f>AG46*G42</f>
        <v>0</v>
      </c>
    </row>
    <row r="47" spans="1:34" ht="15" customHeight="1" x14ac:dyDescent="0.2">
      <c r="X47" s="38"/>
      <c r="Y47" s="38"/>
      <c r="Z47" s="17">
        <v>15</v>
      </c>
      <c r="AA47" s="59" t="s">
        <v>143</v>
      </c>
      <c r="AB47" s="20">
        <f>(F14*G43*AB24)/60000</f>
        <v>0</v>
      </c>
      <c r="AC47" s="20">
        <f>(F15*G43*AC24)/60000</f>
        <v>0</v>
      </c>
      <c r="AD47" s="20">
        <f>(F16*G43*AD24)/60000</f>
        <v>0</v>
      </c>
      <c r="AE47" s="20">
        <f>(F17*G43*AE24)/60000</f>
        <v>0</v>
      </c>
      <c r="AF47" s="20">
        <f t="shared" si="7"/>
        <v>0</v>
      </c>
      <c r="AG47" s="27">
        <f>IF(G43=0,0,AE24)*24/0.85/230</f>
        <v>0</v>
      </c>
      <c r="AH47" s="27">
        <f>AG47*G43</f>
        <v>0</v>
      </c>
    </row>
    <row r="48" spans="1:34" ht="15" customHeight="1" x14ac:dyDescent="0.2">
      <c r="A48" s="119" t="s">
        <v>163</v>
      </c>
      <c r="B48" s="119"/>
      <c r="C48" s="119"/>
      <c r="D48" s="119"/>
      <c r="E48" s="119"/>
      <c r="F48" s="119"/>
      <c r="G48" s="119"/>
      <c r="H48" s="119"/>
      <c r="I48" s="119"/>
      <c r="J48" s="119"/>
      <c r="K48" s="119"/>
      <c r="L48" s="119"/>
      <c r="M48" s="119"/>
      <c r="N48" s="119"/>
      <c r="O48" s="119"/>
      <c r="P48" s="119"/>
      <c r="Q48" s="119"/>
      <c r="X48" s="38"/>
      <c r="Y48" s="38"/>
      <c r="Z48" s="17">
        <v>16</v>
      </c>
      <c r="AA48" s="58" t="s">
        <v>145</v>
      </c>
      <c r="AB48" s="21">
        <f>(F14*G44*AB25)/60000</f>
        <v>0</v>
      </c>
      <c r="AC48" s="21">
        <f>(F15*G44*AC25)/60000</f>
        <v>0</v>
      </c>
      <c r="AD48" s="21">
        <f>(F16*G44*AD25)/60000</f>
        <v>0</v>
      </c>
      <c r="AE48" s="21">
        <f>(F17*G44*AE25)/60000</f>
        <v>0</v>
      </c>
      <c r="AF48" s="21">
        <f t="shared" si="7"/>
        <v>0</v>
      </c>
      <c r="AG48" s="41">
        <f>IF(G44=0,0,AE25)*24/0.85/230</f>
        <v>0</v>
      </c>
      <c r="AH48" s="41">
        <f>AG48*G44</f>
        <v>0</v>
      </c>
    </row>
    <row r="49" spans="1:36" ht="15" customHeight="1" x14ac:dyDescent="0.2">
      <c r="A49" s="119"/>
      <c r="B49" s="119"/>
      <c r="C49" s="119"/>
      <c r="D49" s="119"/>
      <c r="E49" s="119"/>
      <c r="F49" s="119"/>
      <c r="G49" s="119"/>
      <c r="H49" s="119"/>
      <c r="I49" s="119"/>
      <c r="J49" s="119"/>
      <c r="K49" s="119"/>
      <c r="L49" s="119"/>
      <c r="M49" s="119"/>
      <c r="N49" s="119"/>
      <c r="O49" s="119"/>
      <c r="P49" s="119"/>
      <c r="Q49" s="119"/>
      <c r="Z49" s="17">
        <v>17</v>
      </c>
      <c r="AA49" s="59" t="s">
        <v>70</v>
      </c>
      <c r="AB49" s="20">
        <f>(F14*G45*F22)/60000</f>
        <v>0</v>
      </c>
      <c r="AC49" s="20">
        <f>(F15*G45*F23)/60000</f>
        <v>0</v>
      </c>
      <c r="AD49" s="20">
        <f>(F16*G45*F24)/60000</f>
        <v>0</v>
      </c>
      <c r="AE49" s="20">
        <f>(F17*G45*F25)/60000</f>
        <v>0</v>
      </c>
      <c r="AF49" s="20">
        <f t="shared" si="7"/>
        <v>0</v>
      </c>
      <c r="AG49" s="27">
        <f>IF(G45=0,0,F25)*24/0.85/230</f>
        <v>0</v>
      </c>
      <c r="AH49" s="27">
        <f>AG49*G45</f>
        <v>0</v>
      </c>
    </row>
    <row r="50" spans="1:36" ht="15" customHeight="1" x14ac:dyDescent="0.2">
      <c r="A50" s="119"/>
      <c r="B50" s="119"/>
      <c r="C50" s="119"/>
      <c r="D50" s="119"/>
      <c r="E50" s="119"/>
      <c r="F50" s="119"/>
      <c r="G50" s="119"/>
      <c r="H50" s="119"/>
      <c r="I50" s="119"/>
      <c r="J50" s="119"/>
      <c r="K50" s="119"/>
      <c r="L50" s="119"/>
      <c r="M50" s="119"/>
      <c r="N50" s="119"/>
      <c r="O50" s="119"/>
      <c r="P50" s="119"/>
      <c r="Q50" s="119"/>
      <c r="Z50" s="17">
        <v>18</v>
      </c>
      <c r="AA50" s="65" t="s">
        <v>11</v>
      </c>
      <c r="AB50" s="22">
        <f>SUM(AB33:AB49)</f>
        <v>0</v>
      </c>
      <c r="AC50" s="22">
        <f>SUM(AC33:AC49)</f>
        <v>0</v>
      </c>
      <c r="AD50" s="22">
        <f>SUM(AD33:AD49)</f>
        <v>0</v>
      </c>
      <c r="AE50" s="22">
        <f>SUM(AE33:AE49)</f>
        <v>0</v>
      </c>
      <c r="AF50" s="22">
        <f t="shared" si="7"/>
        <v>0</v>
      </c>
      <c r="AG50" s="33"/>
      <c r="AH50" s="23">
        <f>SUM(AH33:AH49)</f>
        <v>0</v>
      </c>
      <c r="AJ50" s="50"/>
    </row>
    <row r="51" spans="1:36" ht="15" customHeight="1" x14ac:dyDescent="0.2">
      <c r="A51" s="119"/>
      <c r="B51" s="119"/>
      <c r="C51" s="119"/>
      <c r="D51" s="119"/>
      <c r="E51" s="119"/>
      <c r="F51" s="119"/>
      <c r="G51" s="119"/>
      <c r="H51" s="119"/>
      <c r="I51" s="119"/>
      <c r="J51" s="119"/>
      <c r="K51" s="119"/>
      <c r="L51" s="119"/>
      <c r="M51" s="119"/>
      <c r="N51" s="119"/>
      <c r="O51" s="119"/>
      <c r="P51" s="119"/>
      <c r="Q51" s="119"/>
      <c r="Z51" s="17">
        <v>19</v>
      </c>
      <c r="AA51" s="65" t="s">
        <v>46</v>
      </c>
      <c r="AB51" s="22">
        <f>IF(F14=0,0,AB50/F14*60)</f>
        <v>0</v>
      </c>
      <c r="AC51" s="22">
        <f>IF(F15=0,0,AC50/F15*60)</f>
        <v>0</v>
      </c>
      <c r="AD51" s="22">
        <f>IF(F16=0,0,AD50/F16*60)</f>
        <v>0</v>
      </c>
      <c r="AE51" s="22">
        <f>IF(F17=0,0,AE50/F17*60)</f>
        <v>0</v>
      </c>
      <c r="AF51" s="22"/>
      <c r="AG51" s="22"/>
      <c r="AH51" s="22"/>
      <c r="AJ51" s="50"/>
    </row>
    <row r="52" spans="1:36" ht="15" customHeight="1" x14ac:dyDescent="0.2">
      <c r="A52" s="119"/>
      <c r="B52" s="119"/>
      <c r="C52" s="119"/>
      <c r="D52" s="119"/>
      <c r="E52" s="119"/>
      <c r="F52" s="119"/>
      <c r="G52" s="119"/>
      <c r="H52" s="119"/>
      <c r="I52" s="119"/>
      <c r="J52" s="119"/>
      <c r="K52" s="119"/>
      <c r="L52" s="119"/>
      <c r="M52" s="119"/>
      <c r="N52" s="119"/>
      <c r="O52" s="119"/>
      <c r="P52" s="119"/>
      <c r="Q52" s="119"/>
      <c r="Z52" s="17">
        <v>20</v>
      </c>
      <c r="AG52" s="24"/>
      <c r="AH52" s="24"/>
      <c r="AI52" s="24"/>
      <c r="AJ52" s="26"/>
    </row>
    <row r="53" spans="1:36" ht="15" customHeight="1" x14ac:dyDescent="0.2">
      <c r="A53" s="119"/>
      <c r="B53" s="119"/>
      <c r="C53" s="119"/>
      <c r="D53" s="119"/>
      <c r="E53" s="119"/>
      <c r="F53" s="119"/>
      <c r="G53" s="119"/>
      <c r="H53" s="119"/>
      <c r="I53" s="119"/>
      <c r="J53" s="119"/>
      <c r="K53" s="119"/>
      <c r="L53" s="119"/>
      <c r="M53" s="119"/>
      <c r="N53" s="119"/>
      <c r="O53" s="119"/>
      <c r="P53" s="119"/>
      <c r="Q53" s="119"/>
      <c r="X53" s="39"/>
      <c r="Y53" s="39"/>
      <c r="Z53" s="17">
        <v>21</v>
      </c>
    </row>
    <row r="54" spans="1:36" ht="15" customHeight="1" x14ac:dyDescent="0.2">
      <c r="A54" s="119"/>
      <c r="B54" s="119"/>
      <c r="C54" s="119"/>
      <c r="D54" s="119"/>
      <c r="E54" s="119"/>
      <c r="F54" s="119"/>
      <c r="G54" s="119"/>
      <c r="H54" s="119"/>
      <c r="I54" s="119"/>
      <c r="J54" s="119"/>
      <c r="K54" s="119"/>
      <c r="L54" s="119"/>
      <c r="M54" s="119"/>
      <c r="N54" s="119"/>
      <c r="O54" s="119"/>
      <c r="P54" s="119"/>
      <c r="Q54" s="119"/>
      <c r="Z54" s="17">
        <v>22</v>
      </c>
    </row>
    <row r="55" spans="1:36" ht="15" customHeight="1" x14ac:dyDescent="0.2">
      <c r="A55" s="119"/>
      <c r="B55" s="119"/>
      <c r="C55" s="119"/>
      <c r="D55" s="119"/>
      <c r="E55" s="119"/>
      <c r="F55" s="119"/>
      <c r="G55" s="119"/>
      <c r="H55" s="119"/>
      <c r="I55" s="119"/>
      <c r="J55" s="119"/>
      <c r="K55" s="119"/>
      <c r="L55" s="119"/>
      <c r="M55" s="119"/>
      <c r="N55" s="119"/>
      <c r="O55" s="119"/>
      <c r="P55" s="119"/>
      <c r="Q55" s="119"/>
      <c r="U55" s="26"/>
      <c r="V55" s="26"/>
      <c r="Z55" s="17">
        <v>23</v>
      </c>
    </row>
    <row r="56" spans="1:36" ht="15" customHeight="1" x14ac:dyDescent="0.2">
      <c r="A56" s="119"/>
      <c r="B56" s="119"/>
      <c r="C56" s="119"/>
      <c r="D56" s="119"/>
      <c r="E56" s="119"/>
      <c r="F56" s="119"/>
      <c r="G56" s="119"/>
      <c r="H56" s="119"/>
      <c r="I56" s="119"/>
      <c r="J56" s="119"/>
      <c r="K56" s="119"/>
      <c r="L56" s="119"/>
      <c r="M56" s="119"/>
      <c r="N56" s="119"/>
      <c r="O56" s="119"/>
      <c r="P56" s="119"/>
      <c r="Q56" s="119"/>
      <c r="U56" s="26"/>
      <c r="V56" s="26"/>
      <c r="Z56" s="17">
        <v>24</v>
      </c>
    </row>
    <row r="57" spans="1:36" ht="15" customHeight="1" x14ac:dyDescent="0.2">
      <c r="U57" s="26"/>
      <c r="V57" s="26"/>
      <c r="Z57" s="17">
        <v>25</v>
      </c>
    </row>
    <row r="58" spans="1:36" ht="15" customHeight="1" x14ac:dyDescent="0.2">
      <c r="U58" s="26"/>
      <c r="V58" s="26"/>
      <c r="Z58" s="17">
        <v>26</v>
      </c>
    </row>
    <row r="59" spans="1:36" ht="15" customHeight="1" x14ac:dyDescent="0.2">
      <c r="U59" s="26"/>
      <c r="V59" s="26"/>
      <c r="Z59" s="17">
        <v>27</v>
      </c>
    </row>
    <row r="60" spans="1:36" ht="15" customHeight="1" x14ac:dyDescent="0.2">
      <c r="U60" s="26"/>
      <c r="V60" s="26"/>
      <c r="Z60" s="17">
        <v>28</v>
      </c>
    </row>
    <row r="61" spans="1:36" ht="15" customHeight="1" x14ac:dyDescent="0.2">
      <c r="U61" s="26"/>
      <c r="V61" s="26"/>
      <c r="Z61" s="17">
        <v>29</v>
      </c>
    </row>
    <row r="62" spans="1:36" ht="15" customHeight="1" x14ac:dyDescent="0.2">
      <c r="U62" s="26"/>
      <c r="V62" s="26"/>
      <c r="Z62" s="17">
        <v>30</v>
      </c>
    </row>
    <row r="63" spans="1:36" ht="15" customHeight="1" x14ac:dyDescent="0.2">
      <c r="U63" s="26"/>
      <c r="V63" s="26"/>
      <c r="Z63" s="17">
        <v>31</v>
      </c>
    </row>
    <row r="64" spans="1:36" ht="15" customHeight="1" x14ac:dyDescent="0.2">
      <c r="V64" s="26"/>
      <c r="Z64" s="17">
        <v>32</v>
      </c>
    </row>
    <row r="65" spans="8:36" ht="15" customHeight="1" x14ac:dyDescent="0.2">
      <c r="S65" s="26"/>
      <c r="T65" s="26"/>
      <c r="U65" s="26"/>
      <c r="V65" s="26"/>
      <c r="Z65" s="17">
        <v>33</v>
      </c>
    </row>
    <row r="66" spans="8:36" ht="15" customHeight="1" x14ac:dyDescent="0.2">
      <c r="S66" s="26"/>
      <c r="T66" s="60"/>
      <c r="U66" s="60"/>
      <c r="V66" s="26"/>
      <c r="Z66" s="17">
        <v>34</v>
      </c>
    </row>
    <row r="67" spans="8:36" ht="15" customHeight="1" x14ac:dyDescent="0.2">
      <c r="S67" s="26"/>
      <c r="T67" s="60"/>
      <c r="U67" s="60"/>
      <c r="V67" s="26"/>
      <c r="Z67" s="17">
        <v>35</v>
      </c>
    </row>
    <row r="68" spans="8:36" ht="15" customHeight="1" x14ac:dyDescent="0.2">
      <c r="S68" s="26"/>
      <c r="T68" s="61"/>
      <c r="U68" s="61"/>
      <c r="V68" s="26"/>
      <c r="Z68" s="17">
        <v>36</v>
      </c>
    </row>
    <row r="69" spans="8:36" ht="15" customHeight="1" x14ac:dyDescent="0.2">
      <c r="S69" s="26"/>
      <c r="T69" s="43"/>
      <c r="U69" s="43"/>
      <c r="V69" s="26"/>
      <c r="Z69" s="17">
        <v>37</v>
      </c>
      <c r="AA69" s="34"/>
    </row>
    <row r="70" spans="8:36" ht="15" customHeight="1" x14ac:dyDescent="0.2">
      <c r="H70" s="72"/>
      <c r="I70" s="72"/>
      <c r="J70" s="72"/>
      <c r="K70" s="72"/>
      <c r="L70" s="72"/>
      <c r="M70" s="72"/>
      <c r="N70" s="72"/>
      <c r="O70" s="72"/>
      <c r="P70" s="72"/>
      <c r="Q70" s="72"/>
      <c r="R70" s="72"/>
      <c r="S70" s="26"/>
      <c r="T70" s="43"/>
      <c r="U70" s="43"/>
      <c r="V70" s="26"/>
      <c r="Z70" s="17">
        <v>38</v>
      </c>
    </row>
    <row r="71" spans="8:36" ht="15" customHeight="1" x14ac:dyDescent="0.2">
      <c r="H71" s="72"/>
      <c r="I71" s="72"/>
      <c r="J71" s="72"/>
      <c r="K71" s="72"/>
      <c r="L71" s="72"/>
      <c r="M71" s="72"/>
      <c r="N71" s="72"/>
      <c r="O71" s="72"/>
      <c r="P71" s="72"/>
      <c r="Q71" s="72"/>
      <c r="R71" s="72"/>
      <c r="S71" s="26"/>
      <c r="T71" s="61"/>
      <c r="U71" s="61"/>
      <c r="V71" s="26"/>
      <c r="Z71" s="17">
        <v>39</v>
      </c>
    </row>
    <row r="72" spans="8:36" ht="15" customHeight="1" x14ac:dyDescent="0.2">
      <c r="H72" s="72"/>
      <c r="I72" s="72"/>
      <c r="J72" s="72"/>
      <c r="K72" s="72"/>
      <c r="L72" s="72"/>
      <c r="M72" s="72"/>
      <c r="N72" s="72"/>
      <c r="O72" s="72"/>
      <c r="P72" s="72"/>
      <c r="Q72" s="72"/>
      <c r="R72" s="72"/>
      <c r="S72" s="26"/>
      <c r="T72" s="12"/>
      <c r="U72" s="12"/>
      <c r="V72" s="26"/>
      <c r="Z72" s="17">
        <v>40</v>
      </c>
    </row>
    <row r="73" spans="8:36" ht="15" customHeight="1" x14ac:dyDescent="0.2">
      <c r="H73" s="72"/>
      <c r="I73" s="72"/>
      <c r="J73" s="72"/>
      <c r="K73" s="72"/>
      <c r="L73" s="72"/>
      <c r="M73" s="72"/>
      <c r="N73" s="72"/>
      <c r="O73" s="72"/>
      <c r="P73" s="72"/>
      <c r="Q73" s="72"/>
      <c r="R73" s="72"/>
      <c r="S73" s="26"/>
      <c r="T73" s="12"/>
      <c r="U73" s="12"/>
      <c r="V73" s="26"/>
      <c r="Z73" s="17">
        <v>41</v>
      </c>
    </row>
    <row r="74" spans="8:36" ht="15" customHeight="1" x14ac:dyDescent="0.2">
      <c r="H74" s="72"/>
      <c r="I74" s="72"/>
      <c r="J74" s="72"/>
      <c r="K74" s="72"/>
      <c r="L74" s="72"/>
      <c r="M74" s="72"/>
      <c r="N74" s="72"/>
      <c r="O74" s="72"/>
      <c r="P74" s="72"/>
      <c r="Q74" s="72"/>
      <c r="R74" s="72"/>
      <c r="S74" s="26"/>
      <c r="T74" s="12"/>
      <c r="U74" s="12"/>
      <c r="V74" s="26"/>
      <c r="Z74" s="17">
        <v>42</v>
      </c>
      <c r="AJ74" s="24"/>
    </row>
    <row r="75" spans="8:36" ht="15" customHeight="1" x14ac:dyDescent="0.2">
      <c r="H75" s="72"/>
      <c r="I75" s="72"/>
      <c r="J75" s="72"/>
      <c r="K75" s="72"/>
      <c r="L75" s="72"/>
      <c r="M75" s="72"/>
      <c r="N75" s="72"/>
      <c r="O75" s="72"/>
      <c r="P75" s="72"/>
      <c r="Q75" s="72"/>
      <c r="R75" s="72"/>
      <c r="S75" s="26"/>
      <c r="T75" s="12"/>
      <c r="U75" s="12"/>
      <c r="V75" s="26"/>
      <c r="Z75" s="17">
        <v>43</v>
      </c>
      <c r="AJ75" s="24"/>
    </row>
    <row r="76" spans="8:36" ht="15" customHeight="1" x14ac:dyDescent="0.2">
      <c r="H76" s="72"/>
      <c r="I76" s="72"/>
      <c r="J76" s="72"/>
      <c r="K76" s="72"/>
      <c r="L76" s="72"/>
      <c r="M76" s="72"/>
      <c r="N76" s="72"/>
      <c r="O76" s="72"/>
      <c r="P76" s="72"/>
      <c r="Q76" s="72"/>
      <c r="R76" s="72"/>
      <c r="S76" s="26"/>
      <c r="T76" s="12"/>
      <c r="U76" s="12"/>
      <c r="V76" s="26"/>
      <c r="Z76" s="17">
        <v>44</v>
      </c>
      <c r="AJ76" s="24"/>
    </row>
    <row r="77" spans="8:36" ht="15" customHeight="1" x14ac:dyDescent="0.2">
      <c r="H77" s="72"/>
      <c r="I77" s="72"/>
      <c r="J77" s="72"/>
      <c r="K77" s="72"/>
      <c r="L77" s="72"/>
      <c r="M77" s="72"/>
      <c r="N77" s="72"/>
      <c r="O77" s="72"/>
      <c r="P77" s="72"/>
      <c r="Q77" s="72"/>
      <c r="R77" s="72"/>
      <c r="S77" s="26"/>
      <c r="T77" s="12"/>
      <c r="U77" s="12"/>
      <c r="V77" s="26"/>
      <c r="Z77" s="17">
        <v>45</v>
      </c>
      <c r="AJ77" s="24"/>
    </row>
    <row r="78" spans="8:36" ht="15" customHeight="1" x14ac:dyDescent="0.2">
      <c r="H78" s="72"/>
      <c r="I78" s="72"/>
      <c r="J78" s="72"/>
      <c r="K78" s="72"/>
      <c r="L78" s="72"/>
      <c r="M78" s="72"/>
      <c r="N78" s="72"/>
      <c r="O78" s="72"/>
      <c r="P78" s="72"/>
      <c r="Q78" s="72"/>
      <c r="R78" s="72"/>
      <c r="S78" s="26"/>
      <c r="T78" s="12"/>
      <c r="U78" s="12"/>
      <c r="V78" s="26"/>
      <c r="Z78" s="17">
        <v>46</v>
      </c>
      <c r="AJ78" s="24"/>
    </row>
    <row r="79" spans="8:36" ht="15" customHeight="1" x14ac:dyDescent="0.2">
      <c r="H79" s="72"/>
      <c r="I79" s="72"/>
      <c r="J79" s="72"/>
      <c r="K79" s="72"/>
      <c r="L79" s="72"/>
      <c r="M79" s="72"/>
      <c r="N79" s="72"/>
      <c r="O79" s="72"/>
      <c r="P79" s="72"/>
      <c r="Q79" s="72"/>
      <c r="R79" s="72"/>
      <c r="S79" s="26"/>
      <c r="T79" s="26"/>
      <c r="U79" s="26"/>
      <c r="V79" s="26"/>
      <c r="Z79" s="17">
        <v>47</v>
      </c>
      <c r="AJ79" s="24"/>
    </row>
    <row r="80" spans="8:36" ht="15" customHeight="1" x14ac:dyDescent="0.2">
      <c r="H80" s="72"/>
      <c r="I80" s="72"/>
      <c r="J80" s="72"/>
      <c r="K80" s="72"/>
      <c r="L80" s="72"/>
      <c r="M80" s="72"/>
      <c r="N80" s="72"/>
      <c r="O80" s="72"/>
      <c r="P80" s="72"/>
      <c r="Q80" s="72"/>
      <c r="R80" s="72"/>
      <c r="S80" s="26"/>
      <c r="T80" s="26"/>
      <c r="U80" s="26"/>
      <c r="V80" s="26"/>
      <c r="Z80" s="17">
        <v>48</v>
      </c>
      <c r="AJ80" s="24"/>
    </row>
    <row r="81" spans="26:36" ht="15" customHeight="1" x14ac:dyDescent="0.2">
      <c r="Z81" s="17">
        <v>49</v>
      </c>
      <c r="AJ81" s="24"/>
    </row>
    <row r="82" spans="26:36" ht="15" customHeight="1" x14ac:dyDescent="0.2">
      <c r="Z82" s="17">
        <v>50</v>
      </c>
      <c r="AJ82" s="24"/>
    </row>
    <row r="83" spans="26:36" ht="15" customHeight="1" x14ac:dyDescent="0.2">
      <c r="Z83" s="17">
        <v>51</v>
      </c>
      <c r="AJ83" s="24"/>
    </row>
    <row r="84" spans="26:36" ht="15" customHeight="1" x14ac:dyDescent="0.2">
      <c r="Z84" s="17">
        <v>52</v>
      </c>
      <c r="AJ84" s="24"/>
    </row>
    <row r="85" spans="26:36" ht="15" customHeight="1" x14ac:dyDescent="0.2">
      <c r="Z85" s="17">
        <v>53</v>
      </c>
      <c r="AJ85" s="24"/>
    </row>
    <row r="86" spans="26:36" ht="15" customHeight="1" x14ac:dyDescent="0.2">
      <c r="Z86" s="17">
        <v>54</v>
      </c>
      <c r="AJ86" s="24"/>
    </row>
    <row r="87" spans="26:36" ht="15" x14ac:dyDescent="0.2">
      <c r="Z87" s="17">
        <v>55</v>
      </c>
      <c r="AJ87" s="24"/>
    </row>
    <row r="88" spans="26:36" ht="15" x14ac:dyDescent="0.2">
      <c r="Z88" s="17">
        <v>56</v>
      </c>
      <c r="AJ88" s="24"/>
    </row>
    <row r="89" spans="26:36" ht="15" x14ac:dyDescent="0.2">
      <c r="Z89" s="17">
        <v>57</v>
      </c>
      <c r="AJ89" s="24"/>
    </row>
    <row r="90" spans="26:36" ht="15" x14ac:dyDescent="0.2">
      <c r="Z90" s="17">
        <v>58</v>
      </c>
      <c r="AJ90" s="24"/>
    </row>
    <row r="91" spans="26:36" ht="15" x14ac:dyDescent="0.2">
      <c r="Z91" s="17">
        <v>59</v>
      </c>
      <c r="AJ91" s="24"/>
    </row>
    <row r="92" spans="26:36" ht="15" x14ac:dyDescent="0.2">
      <c r="Z92" s="17">
        <v>60</v>
      </c>
      <c r="AJ92" s="24"/>
    </row>
    <row r="93" spans="26:36" ht="15" x14ac:dyDescent="0.2">
      <c r="Z93" s="17">
        <v>61</v>
      </c>
      <c r="AJ93" s="24"/>
    </row>
    <row r="94" spans="26:36" ht="15" x14ac:dyDescent="0.2">
      <c r="Z94" s="17">
        <v>62</v>
      </c>
      <c r="AJ94" s="24"/>
    </row>
    <row r="95" spans="26:36" ht="15" x14ac:dyDescent="0.2">
      <c r="Z95" s="17">
        <v>63</v>
      </c>
      <c r="AJ95" s="24"/>
    </row>
    <row r="96" spans="26:36" ht="15" x14ac:dyDescent="0.2">
      <c r="Z96" s="17">
        <v>64</v>
      </c>
      <c r="AJ96" s="24"/>
    </row>
    <row r="97" spans="26:36" ht="15" x14ac:dyDescent="0.2">
      <c r="Z97" s="17">
        <v>65</v>
      </c>
      <c r="AJ97" s="24"/>
    </row>
    <row r="98" spans="26:36" ht="15" x14ac:dyDescent="0.2">
      <c r="Z98" s="17">
        <v>66</v>
      </c>
      <c r="AJ98" s="24"/>
    </row>
    <row r="99" spans="26:36" ht="15" x14ac:dyDescent="0.2">
      <c r="Z99" s="17">
        <v>67</v>
      </c>
      <c r="AJ99" s="24"/>
    </row>
    <row r="100" spans="26:36" ht="15" x14ac:dyDescent="0.2">
      <c r="Z100" s="17">
        <v>68</v>
      </c>
      <c r="AJ100" s="24"/>
    </row>
    <row r="101" spans="26:36" ht="15" x14ac:dyDescent="0.2">
      <c r="Z101" s="17">
        <v>69</v>
      </c>
      <c r="AJ101" s="24"/>
    </row>
    <row r="102" spans="26:36" ht="15" x14ac:dyDescent="0.2">
      <c r="Z102" s="17">
        <v>70</v>
      </c>
      <c r="AJ102" s="24"/>
    </row>
    <row r="103" spans="26:36" ht="15" x14ac:dyDescent="0.2">
      <c r="Z103" s="17">
        <v>71</v>
      </c>
      <c r="AJ103" s="24"/>
    </row>
    <row r="104" spans="26:36" ht="15" x14ac:dyDescent="0.2">
      <c r="Z104" s="17">
        <v>72</v>
      </c>
      <c r="AJ104" s="24"/>
    </row>
    <row r="105" spans="26:36" ht="15" x14ac:dyDescent="0.2">
      <c r="Z105" s="17">
        <v>73</v>
      </c>
      <c r="AJ105" s="24"/>
    </row>
    <row r="106" spans="26:36" ht="15" x14ac:dyDescent="0.2">
      <c r="Z106" s="17">
        <v>74</v>
      </c>
      <c r="AJ106" s="24"/>
    </row>
    <row r="107" spans="26:36" ht="15" x14ac:dyDescent="0.2">
      <c r="Z107" s="17">
        <v>75</v>
      </c>
      <c r="AJ107" s="24"/>
    </row>
    <row r="108" spans="26:36" ht="15" x14ac:dyDescent="0.2">
      <c r="Z108" s="17">
        <v>76</v>
      </c>
      <c r="AJ108" s="24"/>
    </row>
    <row r="109" spans="26:36" ht="15" x14ac:dyDescent="0.2">
      <c r="Z109" s="17">
        <v>77</v>
      </c>
      <c r="AA109" s="24"/>
      <c r="AJ109" s="24"/>
    </row>
    <row r="110" spans="26:36" ht="15" x14ac:dyDescent="0.2">
      <c r="Z110" s="17">
        <v>78</v>
      </c>
      <c r="AA110" s="40"/>
    </row>
    <row r="111" spans="26:36" ht="15" x14ac:dyDescent="0.2">
      <c r="Z111" s="17">
        <v>79</v>
      </c>
      <c r="AA111" s="40"/>
    </row>
    <row r="112" spans="26:36" ht="15" x14ac:dyDescent="0.2">
      <c r="Z112" s="17">
        <v>80</v>
      </c>
      <c r="AA112" s="40"/>
    </row>
    <row r="113" spans="26:27" ht="15" x14ac:dyDescent="0.2">
      <c r="Z113" s="17">
        <v>81</v>
      </c>
      <c r="AA113" s="40"/>
    </row>
    <row r="114" spans="26:27" ht="15" x14ac:dyDescent="0.2">
      <c r="Z114" s="17">
        <v>82</v>
      </c>
      <c r="AA114" s="40"/>
    </row>
    <row r="115" spans="26:27" ht="15" x14ac:dyDescent="0.2">
      <c r="Z115" s="17">
        <v>83</v>
      </c>
      <c r="AA115" s="40"/>
    </row>
    <row r="116" spans="26:27" ht="15" x14ac:dyDescent="0.2">
      <c r="Z116" s="17">
        <v>84</v>
      </c>
      <c r="AA116" s="40"/>
    </row>
    <row r="117" spans="26:27" ht="15" x14ac:dyDescent="0.2">
      <c r="Z117" s="17">
        <v>85</v>
      </c>
      <c r="AA117" s="40"/>
    </row>
    <row r="118" spans="26:27" ht="15" x14ac:dyDescent="0.2">
      <c r="Z118" s="17">
        <v>86</v>
      </c>
      <c r="AA118" s="40"/>
    </row>
    <row r="119" spans="26:27" ht="15" x14ac:dyDescent="0.2">
      <c r="Z119" s="17">
        <v>87</v>
      </c>
      <c r="AA119" s="40"/>
    </row>
    <row r="120" spans="26:27" ht="15" x14ac:dyDescent="0.2">
      <c r="Z120" s="17">
        <v>88</v>
      </c>
      <c r="AA120" s="40"/>
    </row>
    <row r="121" spans="26:27" ht="15" x14ac:dyDescent="0.2">
      <c r="Z121" s="17">
        <v>89</v>
      </c>
      <c r="AA121" s="40"/>
    </row>
    <row r="122" spans="26:27" ht="15" x14ac:dyDescent="0.2">
      <c r="Z122" s="17">
        <v>90</v>
      </c>
      <c r="AA122" s="40"/>
    </row>
    <row r="123" spans="26:27" ht="15" x14ac:dyDescent="0.2">
      <c r="Z123" s="17">
        <v>91</v>
      </c>
      <c r="AA123" s="40"/>
    </row>
    <row r="124" spans="26:27" ht="15" x14ac:dyDescent="0.2">
      <c r="Z124" s="17">
        <v>92</v>
      </c>
      <c r="AA124" s="40"/>
    </row>
    <row r="125" spans="26:27" ht="15" x14ac:dyDescent="0.2">
      <c r="Z125" s="17">
        <v>93</v>
      </c>
      <c r="AA125" s="40"/>
    </row>
    <row r="126" spans="26:27" ht="15" x14ac:dyDescent="0.2">
      <c r="Z126" s="17">
        <v>94</v>
      </c>
      <c r="AA126" s="40"/>
    </row>
    <row r="127" spans="26:27" ht="15" x14ac:dyDescent="0.2">
      <c r="Z127" s="17">
        <v>95</v>
      </c>
      <c r="AA127" s="40"/>
    </row>
    <row r="128" spans="26:27" ht="15" x14ac:dyDescent="0.2">
      <c r="Z128" s="17">
        <v>96</v>
      </c>
      <c r="AA128" s="40"/>
    </row>
    <row r="129" spans="26:27" ht="15" x14ac:dyDescent="0.2">
      <c r="Z129" s="17"/>
      <c r="AA129" s="40"/>
    </row>
    <row r="130" spans="26:27" x14ac:dyDescent="0.2">
      <c r="AA130" s="40"/>
    </row>
    <row r="131" spans="26:27" x14ac:dyDescent="0.2">
      <c r="AA131" s="40"/>
    </row>
    <row r="132" spans="26:27" x14ac:dyDescent="0.2">
      <c r="AA132" s="40"/>
    </row>
    <row r="133" spans="26:27" x14ac:dyDescent="0.2">
      <c r="AA133" s="40"/>
    </row>
    <row r="134" spans="26:27" x14ac:dyDescent="0.2">
      <c r="AA134" s="40"/>
    </row>
    <row r="135" spans="26:27" x14ac:dyDescent="0.2">
      <c r="AA135" s="40"/>
    </row>
    <row r="136" spans="26:27" x14ac:dyDescent="0.2">
      <c r="AA136" s="40"/>
    </row>
    <row r="137" spans="26:27" x14ac:dyDescent="0.2">
      <c r="AA137" s="40"/>
    </row>
    <row r="138" spans="26:27" x14ac:dyDescent="0.2">
      <c r="AA138" s="40"/>
    </row>
    <row r="139" spans="26:27" x14ac:dyDescent="0.2">
      <c r="AA139" s="40"/>
    </row>
    <row r="140" spans="26:27" x14ac:dyDescent="0.2">
      <c r="AA140" s="40"/>
    </row>
  </sheetData>
  <sheetProtection password="BF6F" sheet="1" selectLockedCells="1"/>
  <mergeCells count="100">
    <mergeCell ref="A39:F39"/>
    <mergeCell ref="I21:O22"/>
    <mergeCell ref="P21:P22"/>
    <mergeCell ref="N38:N39"/>
    <mergeCell ref="O38:O39"/>
    <mergeCell ref="P38:P39"/>
    <mergeCell ref="P34:P35"/>
    <mergeCell ref="A21:E21"/>
    <mergeCell ref="A33:C33"/>
    <mergeCell ref="D33:F33"/>
    <mergeCell ref="A30:F30"/>
    <mergeCell ref="A32:C32"/>
    <mergeCell ref="D32:F32"/>
    <mergeCell ref="D27:F28"/>
    <mergeCell ref="A31:F31"/>
    <mergeCell ref="AG31:AH31"/>
    <mergeCell ref="AB31:AE31"/>
    <mergeCell ref="AF31:AF32"/>
    <mergeCell ref="J10:Q11"/>
    <mergeCell ref="P13:P14"/>
    <mergeCell ref="Q13:Q14"/>
    <mergeCell ref="I18:Q18"/>
    <mergeCell ref="I10:I11"/>
    <mergeCell ref="Q21:Q22"/>
    <mergeCell ref="Q19:Q20"/>
    <mergeCell ref="P19:P20"/>
    <mergeCell ref="P31:P32"/>
    <mergeCell ref="Q31:Q32"/>
    <mergeCell ref="AA31:AA32"/>
    <mergeCell ref="I15:O16"/>
    <mergeCell ref="R13:X14"/>
    <mergeCell ref="AG6:AJ6"/>
    <mergeCell ref="AB29:AF29"/>
    <mergeCell ref="F21:G21"/>
    <mergeCell ref="A13:G13"/>
    <mergeCell ref="A10:A11"/>
    <mergeCell ref="I19:O20"/>
    <mergeCell ref="A22:E22"/>
    <mergeCell ref="A20:G20"/>
    <mergeCell ref="AB6:AE6"/>
    <mergeCell ref="B10:G11"/>
    <mergeCell ref="G27:G28"/>
    <mergeCell ref="D29:F29"/>
    <mergeCell ref="A29:C29"/>
    <mergeCell ref="A27:C28"/>
    <mergeCell ref="I13:O14"/>
    <mergeCell ref="I28:O28"/>
    <mergeCell ref="D45:F45"/>
    <mergeCell ref="P15:P16"/>
    <mergeCell ref="Q15:Q16"/>
    <mergeCell ref="I29:O29"/>
    <mergeCell ref="P26:P27"/>
    <mergeCell ref="Q26:Q27"/>
    <mergeCell ref="Q23:Q24"/>
    <mergeCell ref="I23:O24"/>
    <mergeCell ref="I36:L36"/>
    <mergeCell ref="I37:L37"/>
    <mergeCell ref="P23:P24"/>
    <mergeCell ref="I31:O32"/>
    <mergeCell ref="N34:N35"/>
    <mergeCell ref="O34:O35"/>
    <mergeCell ref="I26:O27"/>
    <mergeCell ref="I34:M35"/>
    <mergeCell ref="A14:E14"/>
    <mergeCell ref="A15:E15"/>
    <mergeCell ref="A16:E16"/>
    <mergeCell ref="A17:E17"/>
    <mergeCell ref="A18:E18"/>
    <mergeCell ref="D42:F42"/>
    <mergeCell ref="D43:F43"/>
    <mergeCell ref="D44:F44"/>
    <mergeCell ref="A44:C44"/>
    <mergeCell ref="Q34:Q35"/>
    <mergeCell ref="A43:C43"/>
    <mergeCell ref="A38:F38"/>
    <mergeCell ref="A35:F35"/>
    <mergeCell ref="D37:F37"/>
    <mergeCell ref="D36:F36"/>
    <mergeCell ref="A36:C36"/>
    <mergeCell ref="I38:L39"/>
    <mergeCell ref="M38:M39"/>
    <mergeCell ref="A42:C42"/>
    <mergeCell ref="Q38:Q39"/>
    <mergeCell ref="A41:C41"/>
    <mergeCell ref="R19:X20"/>
    <mergeCell ref="R21:X22"/>
    <mergeCell ref="R23:X24"/>
    <mergeCell ref="R26:X27"/>
    <mergeCell ref="A48:Q56"/>
    <mergeCell ref="I41:Q42"/>
    <mergeCell ref="I44:Q45"/>
    <mergeCell ref="A45:C45"/>
    <mergeCell ref="A23:E23"/>
    <mergeCell ref="A24:E24"/>
    <mergeCell ref="A25:E25"/>
    <mergeCell ref="A40:F40"/>
    <mergeCell ref="A34:C34"/>
    <mergeCell ref="D34:F34"/>
    <mergeCell ref="A37:C37"/>
    <mergeCell ref="D41:F41"/>
  </mergeCells>
  <conditionalFormatting sqref="P23:P24">
    <cfRule type="expression" dxfId="45" priority="27">
      <formula>$P$23&gt;24</formula>
    </cfRule>
    <cfRule type="expression" dxfId="44" priority="2">
      <formula>$P$23&lt;0</formula>
    </cfRule>
  </conditionalFormatting>
  <conditionalFormatting sqref="I23">
    <cfRule type="cellIs" dxfId="43" priority="21" operator="lessThan">
      <formula>0</formula>
    </cfRule>
  </conditionalFormatting>
  <conditionalFormatting sqref="G39">
    <cfRule type="expression" dxfId="42" priority="18">
      <formula>(G37*1000&lt;G39)</formula>
    </cfRule>
  </conditionalFormatting>
  <conditionalFormatting sqref="A38:F38">
    <cfRule type="expression" dxfId="41" priority="13">
      <formula>AND($G$36="YES",$G$37&gt;6)</formula>
    </cfRule>
  </conditionalFormatting>
  <conditionalFormatting sqref="R23">
    <cfRule type="expression" dxfId="40" priority="99">
      <formula>$P$23&gt;24</formula>
    </cfRule>
  </conditionalFormatting>
  <conditionalFormatting sqref="P13 R13">
    <cfRule type="expression" dxfId="39" priority="114">
      <formula>AND($G$36="YES",$P$13&gt;225)</formula>
    </cfRule>
  </conditionalFormatting>
  <conditionalFormatting sqref="P26 R26">
    <cfRule type="expression" dxfId="38" priority="116">
      <formula>AND($G$36="YES",$P$26&gt;125)</formula>
    </cfRule>
  </conditionalFormatting>
  <conditionalFormatting sqref="P19">
    <cfRule type="expression" dxfId="37" priority="118">
      <formula>AND(OR(P19&lt;65,P19&gt;225),G36="YES")</formula>
    </cfRule>
  </conditionalFormatting>
  <conditionalFormatting sqref="P21">
    <cfRule type="expression" dxfId="36" priority="119">
      <formula>AND(OR(P21&lt;1,P21&gt;12),G36="YES")</formula>
    </cfRule>
  </conditionalFormatting>
  <conditionalFormatting sqref="G40">
    <cfRule type="expression" dxfId="35" priority="122">
      <formula>AND(G29="NO",G34&lt;1,G40&gt;0)</formula>
    </cfRule>
  </conditionalFormatting>
  <conditionalFormatting sqref="R19">
    <cfRule type="expression" dxfId="34" priority="132">
      <formula>AND(OR(P19&lt;65,P19&gt;225),G36="YES")</formula>
    </cfRule>
  </conditionalFormatting>
  <conditionalFormatting sqref="R21">
    <cfRule type="expression" dxfId="33" priority="137">
      <formula>AND(OR(P21&lt;1,P21&gt;12),G36="YES")</formula>
    </cfRule>
  </conditionalFormatting>
  <conditionalFormatting sqref="G37">
    <cfRule type="expression" dxfId="32" priority="12">
      <formula>AND($G$36="YES",$G$37&gt;6)</formula>
    </cfRule>
  </conditionalFormatting>
  <conditionalFormatting sqref="I44:Q45">
    <cfRule type="expression" dxfId="31" priority="11">
      <formula>AND($G$36="YES",$G$37&gt;6)</formula>
    </cfRule>
    <cfRule type="expression" dxfId="30" priority="10">
      <formula>(G37*1000&lt;G39)</formula>
    </cfRule>
    <cfRule type="expression" dxfId="29" priority="9">
      <formula>AND(G29="NO",G34&lt;1,G40&gt;0)</formula>
    </cfRule>
    <cfRule type="expression" dxfId="28" priority="7">
      <formula>AND($G$36="YES",$P$13&gt;225)</formula>
    </cfRule>
    <cfRule type="expression" dxfId="27" priority="6">
      <formula>AND(OR(P19&lt;65,P19&gt;225),G36="YES")</formula>
    </cfRule>
    <cfRule type="expression" dxfId="26" priority="5">
      <formula>AND(OR(P21&lt;1,P21&gt;12),G36="YES")</formula>
    </cfRule>
    <cfRule type="expression" dxfId="25" priority="4">
      <formula>$P$23&gt;24</formula>
    </cfRule>
    <cfRule type="expression" dxfId="24" priority="3">
      <formula>AND($G$36="YES",$P$26&gt;125)</formula>
    </cfRule>
    <cfRule type="expression" dxfId="23" priority="1">
      <formula>$P$23&lt;0</formula>
    </cfRule>
  </conditionalFormatting>
  <dataValidations count="27">
    <dataValidation type="whole" errorStyle="information" allowBlank="1" showInputMessage="1" showErrorMessage="1" errorTitle="Information" error="The maximum duration for standby operation is 4800 min!_x000a__x000a_With OK the entered value is accepted!_x000a_With CANCEL, the entered value is discarded!" sqref="F14">
      <formula1>0</formula1>
      <formula2>4800</formula2>
    </dataValidation>
    <dataValidation type="whole" errorStyle="information" allowBlank="1" showInputMessage="1" showErrorMessage="1" errorTitle="Information" error="The maximum duration for idle operation is 4800 min!_x000a_ _x000a_With OK the entered value is accepted!  _x000a_With CANCEL, the entered value is discarded!" sqref="F15">
      <formula1>0</formula1>
      <formula2>4800</formula2>
    </dataValidation>
    <dataValidation type="whole" errorStyle="information" allowBlank="1" showInputMessage="1" showErrorMessage="1" errorTitle="Information" error="The maximum duration for operation with alarm tone is 120 min!_x000a__x000a_With OK the entered value is accepted!_x000a_With CANCEL, the entered value is discarded!_x000a_" sqref="F17">
      <formula1>0</formula1>
      <formula2>120</formula2>
    </dataValidation>
    <dataValidation type="whole" errorStyle="information" allowBlank="1" showInputMessage="1" showErrorMessage="1" errorTitle="Information" error="The maximum duration for the operation with speech is 120 min!_x000a__x000a_With OK the entered value is accepted!_x000a_With CANCEL, the entered value is discarded!" sqref="F16">
      <formula1>0</formula1>
      <formula2>120</formula2>
    </dataValidation>
    <dataValidation type="whole" allowBlank="1" showInputMessage="1" showErrorMessage="1" errorTitle="Achtung" error="Geben Sie einen Zahlenwert zwischen 0 und 100 an!" sqref="F18">
      <formula1>0</formula1>
      <formula2>100</formula2>
    </dataValidation>
    <dataValidation type="whole" allowBlank="1" showInputMessage="1" showErrorMessage="1" errorTitle="Attention" error="Enter a numerical value between 0 and 10000!" sqref="F22">
      <formula1>0</formula1>
      <formula2>10000</formula2>
    </dataValidation>
    <dataValidation type="whole" allowBlank="1" showInputMessage="1" showErrorMessage="1" errorTitle="Attention" error="Enter a numerical value between 0 and 10000!" sqref="F23">
      <formula1>0</formula1>
      <formula2>10000</formula2>
    </dataValidation>
    <dataValidation type="whole" allowBlank="1" showInputMessage="1" showErrorMessage="1" errorTitle="Attention" error="Enter a numerical value between 0 and 10000!" sqref="F24">
      <formula1>0</formula1>
      <formula2>10000</formula2>
    </dataValidation>
    <dataValidation type="whole" allowBlank="1" showInputMessage="1" showErrorMessage="1" errorTitle="Attention" error="Enter a numerical value between 0 and 10000!" sqref="F25">
      <formula1>0</formula1>
      <formula2>10000</formula2>
    </dataValidation>
    <dataValidation type="custom" allowBlank="1" showInputMessage="1" showErrorMessage="1" errorTitle="Attention" error="At least one PMX-4CR12 controller or one PMX-4R24 router must be present!_x000a_Change your input accordingly!" sqref="G40">
      <formula1>OR(G29="YES",G34&gt;0)</formula1>
    </dataValidation>
    <dataValidation type="custom" allowBlank="1" showInputMessage="1" showErrorMessage="1" errorTitle="Attention" error="The speaker load can not be greater than the available amplifier power!" sqref="G39">
      <formula1>G39&lt;=G37*1000</formula1>
    </dataValidation>
    <dataValidation type="list" allowBlank="1" showInputMessage="1" showErrorMessage="1" errorTitle="Attention" error="Enter a numerical value between 0 and 10!" sqref="G45">
      <formula1>$Z$32:$Z$42</formula1>
    </dataValidation>
    <dataValidation type="list" allowBlank="1" showInputMessage="1" showErrorMessage="1" errorTitle="Attention" error="Enter a numerical value between 0 and 16!" sqref="G37">
      <formula1>$Z$32:$Z$48</formula1>
    </dataValidation>
    <dataValidation type="list" allowBlank="1" showInputMessage="1" showErrorMessage="1" errorTitle="Attention" error="Enter a numerical value between 0 and 96!" sqref="G35">
      <formula1>$Z$32:$Z$128</formula1>
    </dataValidation>
    <dataValidation type="list" allowBlank="1" showInputMessage="1" showErrorMessage="1" errorTitle="Attention" error="Enter a numerical value between 0 and 80!" sqref="G42">
      <formula1>$Z$32:$Z$112</formula1>
    </dataValidation>
    <dataValidation type="list" allowBlank="1" showInputMessage="1" showErrorMessage="1" errorTitle="Attention" error="Change your input! _x000a_Only the input YES or NO is accepted! " sqref="G36">
      <formula1>$Z$30:$Z$31</formula1>
    </dataValidation>
    <dataValidation type="list" allowBlank="1" showInputMessage="1" showErrorMessage="1" errorTitle="Attention" error="Enter a numerical value between 0 and 12!" sqref="G31">
      <formula1>$Z$32:$Z$44</formula1>
    </dataValidation>
    <dataValidation type="list" allowBlank="1" showInputMessage="1" showErrorMessage="1" errorTitle="Attention" error="Enter a numerical value between 0 and 2!" sqref="G33">
      <formula1>$Z$32:$Z$34</formula1>
    </dataValidation>
    <dataValidation type="list" allowBlank="1" showInputMessage="1" showErrorMessage="1" errorTitle="Attention" error="Enter a numerical value between 0 and 4!" sqref="G44">
      <formula1>$Z$32:$Z$36</formula1>
    </dataValidation>
    <dataValidation type="list" allowBlank="1" showInputMessage="1" showErrorMessage="1" errorTitle="Attention" error="Enter a numerical value between 0 and 4!" sqref="G43">
      <formula1>$Z$32:$Z$36</formula1>
    </dataValidation>
    <dataValidation type="list" allowBlank="1" showInputMessage="1" showErrorMessage="1" errorTitle="Attention" error="Change your input! _x000a_Only the input YES or NO is accepted! " sqref="G32">
      <formula1>$Z$30:$Z$31</formula1>
    </dataValidation>
    <dataValidation type="list" allowBlank="1" showInputMessage="1" showErrorMessage="1" errorTitle="Attention" error="Enter a numerical value between 0 and 16!" sqref="G41">
      <formula1>$Z$32:$Z$48</formula1>
    </dataValidation>
    <dataValidation type="list" allowBlank="1" showInputMessage="1" showErrorMessage="1" errorTitle="Attention" error="Enter a numerical value between 0 and 16!" sqref="G34">
      <formula1>$Z$32:$Z$48</formula1>
    </dataValidation>
    <dataValidation type="list" allowBlank="1" showInputMessage="1" showErrorMessage="1" errorTitle="Attention" error="Change your input! _x000a_Only the input YES or NO is accepted! " sqref="G30">
      <formula1>$Z$30:$Z$31</formula1>
    </dataValidation>
    <dataValidation type="list" allowBlank="1" showInputMessage="1" showErrorMessage="1" errorTitle="Attention" error="Change your input! _x000a_Only the input YES or NO is accepted! " sqref="G29">
      <formula1>$Z$30:$Z$31</formula1>
    </dataValidation>
    <dataValidation type="whole" allowBlank="1" showInputMessage="1" showErrorMessage="1" errorTitle="Attention" error="Enter a numerical value between 1 and 500!" sqref="P19:P20">
      <formula1>1</formula1>
      <formula2>500</formula2>
    </dataValidation>
    <dataValidation type="decimal" allowBlank="1" showInputMessage="1" showErrorMessage="1" errorTitle="Attention" error="Enter a numerical value between 1 and 50!" sqref="P21:P22">
      <formula1>1</formula1>
      <formula2>50</formula2>
    </dataValidation>
  </dataValidation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0"/>
  <sheetViews>
    <sheetView showGridLines="0" tabSelected="1" zoomScale="80" zoomScaleNormal="80" workbookViewId="0">
      <selection activeCell="B10" sqref="B10:G11"/>
    </sheetView>
  </sheetViews>
  <sheetFormatPr defaultColWidth="11.42578125" defaultRowHeight="12.75" x14ac:dyDescent="0.2"/>
  <cols>
    <col min="1" max="17" width="11.42578125" style="24" customWidth="1"/>
    <col min="18" max="25" width="11.42578125" style="24"/>
    <col min="26" max="26" width="11.42578125" style="24" hidden="1" customWidth="1"/>
    <col min="27" max="27" width="24.28515625" style="29" hidden="1" customWidth="1"/>
    <col min="28" max="28" width="9" style="29" hidden="1" customWidth="1"/>
    <col min="29" max="29" width="9.85546875" style="29" hidden="1" customWidth="1"/>
    <col min="30" max="30" width="13.85546875" style="29" hidden="1" customWidth="1"/>
    <col min="31" max="31" width="12.140625" style="29" hidden="1" customWidth="1"/>
    <col min="32" max="32" width="12.7109375" style="29" hidden="1" customWidth="1"/>
    <col min="33" max="33" width="8.85546875" style="29" hidden="1" customWidth="1"/>
    <col min="34" max="34" width="8.42578125" style="29" hidden="1" customWidth="1"/>
    <col min="35" max="35" width="13.7109375" style="29" hidden="1" customWidth="1"/>
    <col min="36" max="36" width="12.140625" style="29" hidden="1" customWidth="1"/>
    <col min="37" max="37" width="11.42578125" style="24" customWidth="1"/>
    <col min="38" max="16384" width="11.42578125" style="24"/>
  </cols>
  <sheetData>
    <row r="1" spans="1:36" x14ac:dyDescent="0.2">
      <c r="A1" s="102"/>
      <c r="B1" s="102"/>
      <c r="C1" s="102"/>
      <c r="D1" s="102"/>
      <c r="E1" s="102"/>
      <c r="F1" s="102"/>
      <c r="G1" s="102"/>
      <c r="H1" s="102"/>
      <c r="I1" s="102"/>
      <c r="J1" s="102"/>
      <c r="K1" s="102"/>
      <c r="L1" s="102"/>
      <c r="M1" s="102"/>
      <c r="N1" s="102"/>
      <c r="O1" s="102"/>
      <c r="P1" s="102"/>
      <c r="Q1" s="102"/>
    </row>
    <row r="2" spans="1:36" x14ac:dyDescent="0.2">
      <c r="A2" s="69"/>
      <c r="B2" s="69"/>
      <c r="C2" s="69"/>
      <c r="D2" s="69"/>
      <c r="E2" s="69"/>
      <c r="F2" s="69"/>
      <c r="G2" s="69"/>
      <c r="H2" s="69"/>
      <c r="I2" s="69"/>
      <c r="J2" s="69"/>
      <c r="K2" s="69"/>
      <c r="L2" s="69"/>
      <c r="M2" s="69"/>
      <c r="N2" s="69"/>
      <c r="O2" s="69"/>
      <c r="P2" s="69"/>
      <c r="Q2" s="69"/>
      <c r="AA2" s="29" t="s">
        <v>72</v>
      </c>
      <c r="AB2" s="29" t="s">
        <v>137</v>
      </c>
    </row>
    <row r="3" spans="1:36" x14ac:dyDescent="0.2">
      <c r="A3" s="69"/>
      <c r="B3" s="69"/>
      <c r="C3" s="69"/>
      <c r="D3" s="69"/>
      <c r="E3" s="69"/>
      <c r="F3" s="69"/>
      <c r="G3" s="69"/>
      <c r="H3" s="69"/>
      <c r="I3" s="69"/>
      <c r="J3" s="69"/>
      <c r="K3" s="69"/>
      <c r="L3" s="69"/>
      <c r="M3" s="69"/>
      <c r="N3" s="69"/>
      <c r="O3" s="69"/>
      <c r="P3" s="69"/>
      <c r="Q3" s="69"/>
    </row>
    <row r="4" spans="1:36" x14ac:dyDescent="0.2">
      <c r="A4" s="69"/>
      <c r="B4" s="69"/>
      <c r="C4" s="69"/>
      <c r="D4" s="69"/>
      <c r="E4" s="69"/>
      <c r="F4" s="69"/>
      <c r="G4" s="69"/>
      <c r="H4" s="69"/>
      <c r="I4" s="69"/>
      <c r="J4" s="69"/>
      <c r="K4" s="69"/>
      <c r="L4" s="69"/>
      <c r="M4" s="69"/>
      <c r="N4" s="69"/>
      <c r="O4" s="69"/>
      <c r="P4" s="69"/>
      <c r="Q4" s="69"/>
    </row>
    <row r="5" spans="1:36" ht="15" customHeight="1" x14ac:dyDescent="0.2">
      <c r="A5" s="69"/>
      <c r="B5" s="69"/>
      <c r="C5" s="69"/>
      <c r="D5" s="69"/>
      <c r="E5" s="69"/>
      <c r="F5" s="69"/>
      <c r="G5" s="69"/>
      <c r="H5" s="69"/>
      <c r="I5" s="69"/>
      <c r="J5" s="69"/>
      <c r="K5" s="69"/>
      <c r="L5" s="69"/>
      <c r="M5" s="69"/>
      <c r="N5" s="69"/>
      <c r="O5" s="69"/>
      <c r="P5" s="69"/>
      <c r="Q5" s="69"/>
      <c r="AA5" s="1"/>
      <c r="AB5" s="1"/>
      <c r="AC5" s="1"/>
      <c r="AD5" s="1"/>
      <c r="AE5" s="1"/>
      <c r="AF5" s="1"/>
      <c r="AG5" s="1"/>
      <c r="AH5" s="1"/>
      <c r="AI5" s="1"/>
      <c r="AJ5" s="1"/>
    </row>
    <row r="6" spans="1:36" ht="15" customHeight="1" x14ac:dyDescent="0.2">
      <c r="A6" s="69"/>
      <c r="B6" s="69"/>
      <c r="C6" s="69"/>
      <c r="D6" s="69"/>
      <c r="E6" s="69"/>
      <c r="F6" s="69"/>
      <c r="G6" s="69"/>
      <c r="H6" s="69"/>
      <c r="I6" s="69"/>
      <c r="J6" s="69"/>
      <c r="K6" s="69"/>
      <c r="L6" s="69"/>
      <c r="M6" s="69"/>
      <c r="N6" s="69"/>
      <c r="O6" s="69"/>
      <c r="P6" s="69"/>
      <c r="Q6" s="69"/>
      <c r="AA6" s="6"/>
      <c r="AB6" s="187" t="s">
        <v>32</v>
      </c>
      <c r="AC6" s="187"/>
      <c r="AD6" s="187"/>
      <c r="AE6" s="187"/>
      <c r="AF6" s="6"/>
      <c r="AG6" s="187" t="s">
        <v>33</v>
      </c>
      <c r="AH6" s="187"/>
      <c r="AI6" s="187"/>
      <c r="AJ6" s="187"/>
    </row>
    <row r="7" spans="1:36" ht="15" customHeight="1" x14ac:dyDescent="0.2">
      <c r="A7" s="69"/>
      <c r="B7" s="69"/>
      <c r="C7" s="69"/>
      <c r="D7" s="69"/>
      <c r="E7" s="69"/>
      <c r="F7" s="69"/>
      <c r="G7" s="69"/>
      <c r="H7" s="69"/>
      <c r="I7" s="69"/>
      <c r="J7" s="69"/>
      <c r="K7" s="69"/>
      <c r="L7" s="69"/>
      <c r="M7" s="69"/>
      <c r="N7" s="69"/>
      <c r="O7" s="69"/>
      <c r="P7" s="69"/>
      <c r="Q7" s="69"/>
      <c r="AA7" s="6"/>
      <c r="AB7" s="68" t="s">
        <v>13</v>
      </c>
      <c r="AC7" s="68" t="s">
        <v>14</v>
      </c>
      <c r="AD7" s="68" t="s">
        <v>34</v>
      </c>
      <c r="AE7" s="68" t="s">
        <v>35</v>
      </c>
      <c r="AF7" s="67" t="s">
        <v>36</v>
      </c>
      <c r="AG7" s="68" t="s">
        <v>13</v>
      </c>
      <c r="AH7" s="68" t="s">
        <v>14</v>
      </c>
      <c r="AI7" s="68" t="s">
        <v>34</v>
      </c>
      <c r="AJ7" s="68" t="s">
        <v>35</v>
      </c>
    </row>
    <row r="8" spans="1:36" ht="15" customHeight="1" x14ac:dyDescent="0.2">
      <c r="A8" s="69"/>
      <c r="B8" s="69"/>
      <c r="C8" s="69"/>
      <c r="D8" s="69"/>
      <c r="E8" s="69"/>
      <c r="F8" s="69"/>
      <c r="G8" s="69"/>
      <c r="H8" s="69"/>
      <c r="I8" s="69"/>
      <c r="J8" s="69"/>
      <c r="K8" s="69"/>
      <c r="L8" s="69"/>
      <c r="M8" s="69"/>
      <c r="N8" s="69"/>
      <c r="O8" s="69"/>
      <c r="P8" s="69"/>
      <c r="Q8" s="69"/>
      <c r="AA8" s="2" t="s">
        <v>19</v>
      </c>
      <c r="AB8" s="4">
        <f>600+IF(G40=0, 0, 50)</f>
        <v>600</v>
      </c>
      <c r="AC8" s="4">
        <f>800+IF(G40=0, 0, 50)</f>
        <v>800</v>
      </c>
      <c r="AD8" s="4">
        <f>800+IF(G40=0, 0, 50)</f>
        <v>800</v>
      </c>
      <c r="AE8" s="4">
        <f>800+IF(G40=0, 0, 50)</f>
        <v>800</v>
      </c>
      <c r="AF8" s="7">
        <f>IF(G29="Ja",1,0)</f>
        <v>0</v>
      </c>
      <c r="AG8" s="8">
        <f>AB8*AF8</f>
        <v>0</v>
      </c>
      <c r="AH8" s="8">
        <f>AC8*AF8</f>
        <v>0</v>
      </c>
      <c r="AI8" s="8">
        <f t="shared" ref="AI8" si="0">AD8*AF8</f>
        <v>0</v>
      </c>
      <c r="AJ8" s="8">
        <f t="shared" ref="AJ8" si="1">AE8*AF8</f>
        <v>0</v>
      </c>
    </row>
    <row r="9" spans="1:36" ht="15" customHeight="1" x14ac:dyDescent="0.2">
      <c r="A9" s="69"/>
      <c r="B9" s="69"/>
      <c r="C9" s="69"/>
      <c r="D9" s="69"/>
      <c r="E9" s="69"/>
      <c r="F9" s="69"/>
      <c r="G9" s="69"/>
      <c r="H9" s="69"/>
      <c r="I9" s="69"/>
      <c r="J9" s="69"/>
      <c r="K9" s="69"/>
      <c r="L9" s="69"/>
      <c r="M9" s="69"/>
      <c r="N9" s="69"/>
      <c r="O9" s="69"/>
      <c r="P9" s="69"/>
      <c r="Q9" s="69"/>
      <c r="AA9" s="12" t="s">
        <v>42</v>
      </c>
      <c r="AB9" s="9">
        <v>200</v>
      </c>
      <c r="AC9" s="9">
        <v>200</v>
      </c>
      <c r="AD9" s="25">
        <v>200</v>
      </c>
      <c r="AE9" s="9">
        <v>200</v>
      </c>
      <c r="AF9" s="7">
        <f>IF(G30="Ja",1,0)</f>
        <v>0</v>
      </c>
      <c r="AG9" s="25">
        <f>AF9*AB9</f>
        <v>0</v>
      </c>
      <c r="AH9" s="25">
        <f>AF9*AB9</f>
        <v>0</v>
      </c>
      <c r="AI9" s="25">
        <f>AF9*AD9</f>
        <v>0</v>
      </c>
      <c r="AJ9" s="25">
        <f>AF9*AE9</f>
        <v>0</v>
      </c>
    </row>
    <row r="10" spans="1:36" ht="15" customHeight="1" x14ac:dyDescent="0.25">
      <c r="A10" s="192" t="s">
        <v>2</v>
      </c>
      <c r="B10" s="200" t="s">
        <v>64</v>
      </c>
      <c r="C10" s="201"/>
      <c r="D10" s="201"/>
      <c r="E10" s="201"/>
      <c r="F10" s="201"/>
      <c r="G10" s="201"/>
      <c r="I10" s="192" t="s">
        <v>0</v>
      </c>
      <c r="J10" s="201" t="s">
        <v>70</v>
      </c>
      <c r="K10" s="201"/>
      <c r="L10" s="201"/>
      <c r="M10" s="201"/>
      <c r="N10" s="201"/>
      <c r="O10" s="201"/>
      <c r="P10" s="201"/>
      <c r="Q10" s="201"/>
      <c r="R10" s="14"/>
      <c r="S10" s="14"/>
      <c r="T10" s="13"/>
      <c r="U10" s="13"/>
      <c r="V10" s="13"/>
      <c r="AA10" s="12" t="s">
        <v>41</v>
      </c>
      <c r="AB10" s="9">
        <v>40</v>
      </c>
      <c r="AC10" s="9">
        <v>40</v>
      </c>
      <c r="AD10" s="25">
        <v>40</v>
      </c>
      <c r="AE10" s="9">
        <v>40</v>
      </c>
      <c r="AF10" s="25">
        <f>G31</f>
        <v>0</v>
      </c>
      <c r="AG10" s="25">
        <f>AF10*AB10</f>
        <v>0</v>
      </c>
      <c r="AH10" s="25">
        <f>AF10*AC10</f>
        <v>0</v>
      </c>
      <c r="AI10" s="25">
        <f>AF10*AD10</f>
        <v>0</v>
      </c>
      <c r="AJ10" s="25">
        <f>AF10*AE10</f>
        <v>0</v>
      </c>
    </row>
    <row r="11" spans="1:36" ht="15" customHeight="1" x14ac:dyDescent="0.25">
      <c r="A11" s="193"/>
      <c r="B11" s="202"/>
      <c r="C11" s="202"/>
      <c r="D11" s="202"/>
      <c r="E11" s="202"/>
      <c r="F11" s="202"/>
      <c r="G11" s="202"/>
      <c r="I11" s="193"/>
      <c r="J11" s="202"/>
      <c r="K11" s="202"/>
      <c r="L11" s="202"/>
      <c r="M11" s="202"/>
      <c r="N11" s="202"/>
      <c r="O11" s="202"/>
      <c r="P11" s="202"/>
      <c r="Q11" s="202"/>
      <c r="R11" s="14"/>
      <c r="S11" s="14"/>
      <c r="T11" s="14"/>
      <c r="U11" s="14"/>
      <c r="V11" s="13"/>
      <c r="AA11" s="2" t="s">
        <v>21</v>
      </c>
      <c r="AB11" s="4">
        <v>180</v>
      </c>
      <c r="AC11" s="4">
        <v>180</v>
      </c>
      <c r="AD11" s="4">
        <v>180</v>
      </c>
      <c r="AE11" s="4">
        <v>180</v>
      </c>
      <c r="AF11" s="7">
        <f>IF(G32="Ja",1,0)</f>
        <v>0</v>
      </c>
      <c r="AG11" s="8">
        <f>AB11*AF11</f>
        <v>0</v>
      </c>
      <c r="AH11" s="8">
        <f>AC11*AF11</f>
        <v>0</v>
      </c>
      <c r="AI11" s="8">
        <f>AD11*AF11</f>
        <v>0</v>
      </c>
      <c r="AJ11" s="8">
        <f>AE11*AF11</f>
        <v>0</v>
      </c>
    </row>
    <row r="12" spans="1:36" ht="15" customHeight="1" x14ac:dyDescent="0.2">
      <c r="G12" s="46"/>
      <c r="I12" s="14"/>
      <c r="J12" s="14"/>
      <c r="K12" s="14"/>
      <c r="L12" s="14"/>
      <c r="M12" s="14"/>
      <c r="N12" s="14"/>
      <c r="O12" s="14"/>
      <c r="P12" s="14"/>
      <c r="AA12" s="2" t="s">
        <v>22</v>
      </c>
      <c r="AB12" s="4">
        <v>625</v>
      </c>
      <c r="AC12" s="4">
        <v>625</v>
      </c>
      <c r="AD12" s="4">
        <v>625</v>
      </c>
      <c r="AE12" s="4">
        <v>625</v>
      </c>
      <c r="AF12" s="7">
        <f>G33</f>
        <v>0</v>
      </c>
      <c r="AG12" s="8">
        <f>AB12*AF12</f>
        <v>0</v>
      </c>
      <c r="AH12" s="8">
        <f>AC12*AF12</f>
        <v>0</v>
      </c>
      <c r="AI12" s="8">
        <f>AD12*AF12</f>
        <v>0</v>
      </c>
      <c r="AJ12" s="8">
        <f>AE12*AF12</f>
        <v>0</v>
      </c>
    </row>
    <row r="13" spans="1:36" ht="15" customHeight="1" x14ac:dyDescent="0.2">
      <c r="A13" s="191" t="s">
        <v>3</v>
      </c>
      <c r="B13" s="191"/>
      <c r="C13" s="191"/>
      <c r="D13" s="191"/>
      <c r="E13" s="191"/>
      <c r="F13" s="191"/>
      <c r="G13" s="191"/>
      <c r="I13" s="141" t="s">
        <v>52</v>
      </c>
      <c r="J13" s="142"/>
      <c r="K13" s="142"/>
      <c r="L13" s="142"/>
      <c r="M13" s="142"/>
      <c r="N13" s="142"/>
      <c r="O13" s="142"/>
      <c r="P13" s="223">
        <f>(F18*AF50)/100+AF50</f>
        <v>0</v>
      </c>
      <c r="Q13" s="162" t="s">
        <v>47</v>
      </c>
      <c r="R13" s="104" t="s">
        <v>157</v>
      </c>
      <c r="S13" s="105"/>
      <c r="T13" s="105"/>
      <c r="U13" s="105"/>
      <c r="V13" s="105"/>
      <c r="W13" s="105"/>
      <c r="X13" s="118"/>
      <c r="AA13" s="2" t="s">
        <v>23</v>
      </c>
      <c r="AB13" s="4">
        <f>250+IF(G40=0, 0, 50*2)</f>
        <v>250</v>
      </c>
      <c r="AC13" s="4">
        <f>650+IF(G40=0, 0, 50*2)</f>
        <v>650</v>
      </c>
      <c r="AD13" s="4">
        <f>650+IF(G40=0, 0, 50*2)</f>
        <v>650</v>
      </c>
      <c r="AE13" s="4">
        <f>650+IF(G40=0, 0, 50*2)</f>
        <v>650</v>
      </c>
      <c r="AF13" s="7">
        <f>G34</f>
        <v>0</v>
      </c>
      <c r="AG13" s="8">
        <f>AB13*AF13</f>
        <v>0</v>
      </c>
      <c r="AH13" s="8">
        <f>AC13*AF13</f>
        <v>0</v>
      </c>
      <c r="AI13" s="8">
        <f>AD13*AF13</f>
        <v>0</v>
      </c>
      <c r="AJ13" s="8">
        <f>AE13*AF13</f>
        <v>0</v>
      </c>
    </row>
    <row r="14" spans="1:36" ht="15" customHeight="1" x14ac:dyDescent="0.2">
      <c r="A14" s="151" t="s">
        <v>40</v>
      </c>
      <c r="B14" s="151"/>
      <c r="C14" s="151"/>
      <c r="D14" s="151"/>
      <c r="E14" s="151"/>
      <c r="F14" s="76">
        <v>1800</v>
      </c>
      <c r="G14" s="77" t="s">
        <v>4</v>
      </c>
      <c r="I14" s="144"/>
      <c r="J14" s="145"/>
      <c r="K14" s="145"/>
      <c r="L14" s="145"/>
      <c r="M14" s="145"/>
      <c r="N14" s="145"/>
      <c r="O14" s="145"/>
      <c r="P14" s="224"/>
      <c r="Q14" s="163"/>
      <c r="R14" s="104"/>
      <c r="S14" s="105"/>
      <c r="T14" s="105"/>
      <c r="U14" s="105"/>
      <c r="V14" s="105"/>
      <c r="W14" s="105"/>
      <c r="X14" s="118"/>
      <c r="AA14" s="12" t="s">
        <v>41</v>
      </c>
      <c r="AB14" s="9">
        <v>40</v>
      </c>
      <c r="AC14" s="9">
        <v>40</v>
      </c>
      <c r="AD14" s="25">
        <v>40</v>
      </c>
      <c r="AE14" s="9">
        <v>40</v>
      </c>
      <c r="AF14" s="7">
        <f>G35</f>
        <v>0</v>
      </c>
      <c r="AG14" s="25">
        <f>AF14*AB14</f>
        <v>0</v>
      </c>
      <c r="AH14" s="25">
        <f>AF14*AC14</f>
        <v>0</v>
      </c>
      <c r="AI14" s="25">
        <f>AF14*AD14</f>
        <v>0</v>
      </c>
      <c r="AJ14" s="25">
        <f>AF14*AE14</f>
        <v>0</v>
      </c>
    </row>
    <row r="15" spans="1:36" ht="15" customHeight="1" x14ac:dyDescent="0.2">
      <c r="A15" s="152" t="s">
        <v>68</v>
      </c>
      <c r="B15" s="152"/>
      <c r="C15" s="152"/>
      <c r="D15" s="152"/>
      <c r="E15" s="152"/>
      <c r="F15" s="89">
        <v>0</v>
      </c>
      <c r="G15" s="90" t="s">
        <v>4</v>
      </c>
      <c r="I15" s="236" t="s">
        <v>65</v>
      </c>
      <c r="J15" s="237"/>
      <c r="K15" s="237"/>
      <c r="L15" s="237"/>
      <c r="M15" s="237"/>
      <c r="N15" s="237"/>
      <c r="O15" s="237"/>
      <c r="P15" s="153">
        <f>IF(F14+F15&lt;1440,P13*1.25,P13)</f>
        <v>0</v>
      </c>
      <c r="Q15" s="155" t="s">
        <v>47</v>
      </c>
      <c r="R15" s="48"/>
      <c r="S15" s="48"/>
      <c r="T15" s="48"/>
      <c r="U15" s="48"/>
      <c r="V15" s="48"/>
      <c r="W15" s="48"/>
      <c r="AA15" s="2" t="s">
        <v>37</v>
      </c>
      <c r="AB15" s="3">
        <f>(G40/100^2*8^2/0.8)/24*1000</f>
        <v>0</v>
      </c>
      <c r="AC15" s="3">
        <f>(G40/100^2*8^2/0.8)/24*1000</f>
        <v>0</v>
      </c>
      <c r="AD15" s="4">
        <v>0</v>
      </c>
      <c r="AE15" s="4">
        <v>0</v>
      </c>
      <c r="AF15" s="7">
        <f>G40</f>
        <v>0</v>
      </c>
      <c r="AG15" s="8">
        <f>AB15</f>
        <v>0</v>
      </c>
      <c r="AH15" s="8">
        <f>AC15</f>
        <v>0</v>
      </c>
      <c r="AI15" s="8">
        <f t="shared" ref="AH15:AI26" si="2">AD15*AF15</f>
        <v>0</v>
      </c>
      <c r="AJ15" s="8">
        <f t="shared" ref="AI15:AJ26" si="3">AE15*AF15</f>
        <v>0</v>
      </c>
    </row>
    <row r="16" spans="1:36" ht="15" customHeight="1" x14ac:dyDescent="0.2">
      <c r="A16" s="151" t="s">
        <v>75</v>
      </c>
      <c r="B16" s="151"/>
      <c r="C16" s="151"/>
      <c r="D16" s="151"/>
      <c r="E16" s="151"/>
      <c r="F16" s="76">
        <v>20</v>
      </c>
      <c r="G16" s="77" t="s">
        <v>4</v>
      </c>
      <c r="I16" s="238"/>
      <c r="J16" s="239"/>
      <c r="K16" s="239"/>
      <c r="L16" s="239"/>
      <c r="M16" s="239"/>
      <c r="N16" s="239"/>
      <c r="O16" s="239"/>
      <c r="P16" s="154"/>
      <c r="Q16" s="156"/>
      <c r="R16" s="48"/>
      <c r="S16" s="48"/>
      <c r="T16" s="48"/>
      <c r="U16" s="48"/>
      <c r="V16" s="48"/>
      <c r="W16" s="48"/>
      <c r="AA16" s="5"/>
      <c r="AB16" s="4"/>
      <c r="AC16" s="4"/>
      <c r="AD16" s="4"/>
      <c r="AE16" s="4"/>
      <c r="AF16" s="7"/>
      <c r="AG16" s="8">
        <f>AB16*AF16</f>
        <v>0</v>
      </c>
      <c r="AH16" s="8">
        <f>AC16*AF16</f>
        <v>0</v>
      </c>
      <c r="AI16" s="8">
        <f t="shared" si="2"/>
        <v>0</v>
      </c>
      <c r="AJ16" s="8">
        <f t="shared" si="3"/>
        <v>0</v>
      </c>
    </row>
    <row r="17" spans="1:36" ht="15" customHeight="1" x14ac:dyDescent="0.2">
      <c r="A17" s="152" t="s">
        <v>76</v>
      </c>
      <c r="B17" s="152"/>
      <c r="C17" s="152"/>
      <c r="D17" s="152"/>
      <c r="E17" s="152"/>
      <c r="F17" s="89">
        <v>10</v>
      </c>
      <c r="G17" s="91" t="s">
        <v>4</v>
      </c>
      <c r="R17" s="48"/>
      <c r="S17" s="48"/>
      <c r="T17" s="48"/>
      <c r="U17" s="48"/>
      <c r="V17" s="48"/>
      <c r="W17" s="48"/>
      <c r="AA17" s="2" t="s">
        <v>24</v>
      </c>
      <c r="AB17" s="3">
        <v>180</v>
      </c>
      <c r="AC17" s="3">
        <v>650</v>
      </c>
      <c r="AD17" s="3">
        <v>650</v>
      </c>
      <c r="AE17" s="3">
        <v>650</v>
      </c>
      <c r="AF17" s="7">
        <f>G37</f>
        <v>0</v>
      </c>
      <c r="AG17" s="8">
        <f>AB17*AF17</f>
        <v>0</v>
      </c>
      <c r="AH17" s="8">
        <f>AC17*AF17</f>
        <v>0</v>
      </c>
      <c r="AI17" s="8">
        <f t="shared" si="2"/>
        <v>0</v>
      </c>
      <c r="AJ17" s="8">
        <f>AE17*AF17</f>
        <v>0</v>
      </c>
    </row>
    <row r="18" spans="1:36" ht="15" customHeight="1" x14ac:dyDescent="0.2">
      <c r="A18" s="123" t="s">
        <v>69</v>
      </c>
      <c r="B18" s="123"/>
      <c r="C18" s="123"/>
      <c r="D18" s="123"/>
      <c r="E18" s="123"/>
      <c r="F18" s="78">
        <v>5</v>
      </c>
      <c r="G18" s="79" t="s">
        <v>5</v>
      </c>
      <c r="I18" s="225" t="s">
        <v>54</v>
      </c>
      <c r="J18" s="226"/>
      <c r="K18" s="226"/>
      <c r="L18" s="226"/>
      <c r="M18" s="226"/>
      <c r="N18" s="226"/>
      <c r="O18" s="226"/>
      <c r="P18" s="226"/>
      <c r="Q18" s="227"/>
      <c r="R18" s="69"/>
      <c r="S18" s="70"/>
      <c r="T18" s="70"/>
      <c r="U18" s="70"/>
      <c r="V18" s="70"/>
      <c r="W18" s="70"/>
      <c r="X18" s="71"/>
      <c r="Y18" s="71"/>
      <c r="Z18" s="71"/>
      <c r="AA18" s="2" t="s">
        <v>38</v>
      </c>
      <c r="AB18" s="4">
        <v>0</v>
      </c>
      <c r="AC18" s="4">
        <v>0</v>
      </c>
      <c r="AD18" s="3">
        <f>(G39/100^2*32^2)/0.65/24*1000</f>
        <v>0</v>
      </c>
      <c r="AE18" s="3">
        <f>(G39/100^2*70.71^2)/0.65/24*1000</f>
        <v>0</v>
      </c>
      <c r="AF18" s="7">
        <f>G39</f>
        <v>0</v>
      </c>
      <c r="AG18" s="8">
        <f>AB18</f>
        <v>0</v>
      </c>
      <c r="AH18" s="8">
        <f>AC18</f>
        <v>0</v>
      </c>
      <c r="AI18" s="8">
        <f>AD18*AF18/1000</f>
        <v>0</v>
      </c>
      <c r="AJ18" s="8">
        <f>AE18*AF18/1000</f>
        <v>0</v>
      </c>
    </row>
    <row r="19" spans="1:36" ht="15" customHeight="1" x14ac:dyDescent="0.2">
      <c r="A19" s="43"/>
      <c r="B19" s="43"/>
      <c r="C19" s="43"/>
      <c r="D19" s="43"/>
      <c r="E19" s="43"/>
      <c r="F19" s="43"/>
      <c r="G19" s="43"/>
      <c r="I19" s="194" t="s">
        <v>55</v>
      </c>
      <c r="J19" s="195"/>
      <c r="K19" s="195"/>
      <c r="L19" s="195"/>
      <c r="M19" s="195"/>
      <c r="N19" s="195"/>
      <c r="O19" s="196"/>
      <c r="P19" s="232">
        <v>65</v>
      </c>
      <c r="Q19" s="230" t="s">
        <v>47</v>
      </c>
      <c r="R19" s="104" t="s">
        <v>156</v>
      </c>
      <c r="S19" s="105"/>
      <c r="T19" s="105"/>
      <c r="U19" s="105"/>
      <c r="V19" s="105"/>
      <c r="W19" s="105"/>
      <c r="X19" s="106"/>
      <c r="Y19" s="50"/>
      <c r="Z19" s="50"/>
      <c r="AA19" s="4"/>
      <c r="AB19" s="4"/>
      <c r="AC19" s="4"/>
      <c r="AD19" s="4"/>
      <c r="AE19" s="7"/>
      <c r="AF19" s="8">
        <f t="shared" ref="AF19:AG26" si="4">AA19*AE19</f>
        <v>0</v>
      </c>
      <c r="AG19" s="8">
        <f t="shared" ref="AG19:AH26" si="5">AB19*AE19</f>
        <v>0</v>
      </c>
      <c r="AH19" s="8">
        <f t="shared" si="2"/>
        <v>0</v>
      </c>
      <c r="AI19" s="8">
        <f t="shared" si="3"/>
        <v>0</v>
      </c>
      <c r="AJ19" s="24"/>
    </row>
    <row r="20" spans="1:36" ht="15" customHeight="1" x14ac:dyDescent="0.2">
      <c r="A20" s="191" t="s">
        <v>66</v>
      </c>
      <c r="B20" s="191"/>
      <c r="C20" s="191"/>
      <c r="D20" s="191"/>
      <c r="E20" s="191"/>
      <c r="F20" s="191"/>
      <c r="G20" s="191"/>
      <c r="H20" s="44"/>
      <c r="I20" s="197"/>
      <c r="J20" s="198"/>
      <c r="K20" s="198"/>
      <c r="L20" s="198"/>
      <c r="M20" s="198"/>
      <c r="N20" s="198"/>
      <c r="O20" s="199"/>
      <c r="P20" s="233"/>
      <c r="Q20" s="231"/>
      <c r="R20" s="107"/>
      <c r="S20" s="108"/>
      <c r="T20" s="108"/>
      <c r="U20" s="108"/>
      <c r="V20" s="108"/>
      <c r="W20" s="108"/>
      <c r="X20" s="109"/>
      <c r="Y20" s="26"/>
      <c r="Z20" s="26"/>
      <c r="AA20" s="2" t="s">
        <v>25</v>
      </c>
      <c r="AB20" s="4">
        <v>430</v>
      </c>
      <c r="AC20" s="4">
        <v>430</v>
      </c>
      <c r="AD20" s="4">
        <v>430</v>
      </c>
      <c r="AE20" s="4">
        <v>430</v>
      </c>
      <c r="AF20" s="7">
        <f>IF(G36="Ja",1,0)</f>
        <v>0</v>
      </c>
      <c r="AG20" s="8">
        <f t="shared" si="4"/>
        <v>0</v>
      </c>
      <c r="AH20" s="8">
        <f t="shared" si="5"/>
        <v>0</v>
      </c>
      <c r="AI20" s="8">
        <f t="shared" si="2"/>
        <v>0</v>
      </c>
      <c r="AJ20" s="8">
        <f t="shared" si="3"/>
        <v>0</v>
      </c>
    </row>
    <row r="21" spans="1:36" ht="15" customHeight="1" x14ac:dyDescent="0.2">
      <c r="A21" s="123" t="s">
        <v>1</v>
      </c>
      <c r="B21" s="123"/>
      <c r="C21" s="123"/>
      <c r="D21" s="123"/>
      <c r="E21" s="123"/>
      <c r="F21" s="189">
        <v>12345</v>
      </c>
      <c r="G21" s="190"/>
      <c r="I21" s="245" t="s">
        <v>135</v>
      </c>
      <c r="J21" s="246"/>
      <c r="K21" s="246"/>
      <c r="L21" s="246"/>
      <c r="M21" s="246"/>
      <c r="N21" s="246"/>
      <c r="O21" s="247"/>
      <c r="P21" s="251">
        <v>12</v>
      </c>
      <c r="Q21" s="228" t="s">
        <v>48</v>
      </c>
      <c r="R21" s="104" t="s">
        <v>155</v>
      </c>
      <c r="S21" s="105"/>
      <c r="T21" s="105"/>
      <c r="U21" s="105"/>
      <c r="V21" s="105"/>
      <c r="W21" s="105"/>
      <c r="X21" s="106"/>
      <c r="Y21" s="50"/>
      <c r="Z21" s="50"/>
      <c r="AA21" s="2"/>
      <c r="AB21" s="4"/>
      <c r="AC21" s="4"/>
      <c r="AD21" s="4"/>
      <c r="AE21" s="4"/>
      <c r="AF21" s="7"/>
      <c r="AG21" s="8">
        <f t="shared" si="4"/>
        <v>0</v>
      </c>
      <c r="AH21" s="8">
        <f t="shared" si="5"/>
        <v>0</v>
      </c>
      <c r="AI21" s="8">
        <f t="shared" si="2"/>
        <v>0</v>
      </c>
      <c r="AJ21" s="8">
        <f t="shared" si="3"/>
        <v>0</v>
      </c>
    </row>
    <row r="22" spans="1:36" ht="15" customHeight="1" x14ac:dyDescent="0.2">
      <c r="A22" s="124" t="s">
        <v>131</v>
      </c>
      <c r="B22" s="124"/>
      <c r="C22" s="124"/>
      <c r="D22" s="124"/>
      <c r="E22" s="124"/>
      <c r="F22" s="92">
        <v>0</v>
      </c>
      <c r="G22" s="93" t="s">
        <v>7</v>
      </c>
      <c r="I22" s="248"/>
      <c r="J22" s="249"/>
      <c r="K22" s="249"/>
      <c r="L22" s="249"/>
      <c r="M22" s="249"/>
      <c r="N22" s="249"/>
      <c r="O22" s="250"/>
      <c r="P22" s="252"/>
      <c r="Q22" s="229"/>
      <c r="R22" s="107"/>
      <c r="S22" s="108"/>
      <c r="T22" s="108"/>
      <c r="U22" s="108"/>
      <c r="V22" s="108"/>
      <c r="W22" s="108"/>
      <c r="X22" s="109"/>
      <c r="Y22" s="71"/>
      <c r="Z22" s="71"/>
      <c r="AA22" s="2" t="s">
        <v>26</v>
      </c>
      <c r="AB22" s="4">
        <v>60</v>
      </c>
      <c r="AC22" s="4">
        <v>80</v>
      </c>
      <c r="AD22" s="4">
        <v>80</v>
      </c>
      <c r="AE22" s="4">
        <v>80</v>
      </c>
      <c r="AF22" s="7">
        <f>G41</f>
        <v>0</v>
      </c>
      <c r="AG22" s="8">
        <f t="shared" si="4"/>
        <v>0</v>
      </c>
      <c r="AH22" s="8">
        <f t="shared" si="5"/>
        <v>0</v>
      </c>
      <c r="AI22" s="8">
        <f t="shared" si="2"/>
        <v>0</v>
      </c>
      <c r="AJ22" s="8">
        <f t="shared" si="3"/>
        <v>0</v>
      </c>
    </row>
    <row r="23" spans="1:36" ht="15" customHeight="1" x14ac:dyDescent="0.2">
      <c r="A23" s="123" t="s">
        <v>132</v>
      </c>
      <c r="B23" s="123"/>
      <c r="C23" s="123"/>
      <c r="D23" s="123"/>
      <c r="E23" s="123"/>
      <c r="F23" s="80">
        <v>0</v>
      </c>
      <c r="G23" s="79" t="s">
        <v>7</v>
      </c>
      <c r="I23" s="165" t="s">
        <v>57</v>
      </c>
      <c r="J23" s="166"/>
      <c r="K23" s="166"/>
      <c r="L23" s="166"/>
      <c r="M23" s="166"/>
      <c r="N23" s="166"/>
      <c r="O23" s="167"/>
      <c r="P23" s="175">
        <f>P19/(P21-P31)*0.9</f>
        <v>4.875</v>
      </c>
      <c r="Q23" s="164" t="s">
        <v>56</v>
      </c>
      <c r="R23" s="113" t="s">
        <v>153</v>
      </c>
      <c r="S23" s="114"/>
      <c r="T23" s="114"/>
      <c r="U23" s="114"/>
      <c r="V23" s="114"/>
      <c r="W23" s="114"/>
      <c r="X23" s="115"/>
      <c r="AA23" s="2" t="s">
        <v>27</v>
      </c>
      <c r="AB23" s="4">
        <v>0</v>
      </c>
      <c r="AC23" s="4">
        <v>15</v>
      </c>
      <c r="AD23" s="4">
        <v>15</v>
      </c>
      <c r="AE23" s="4">
        <v>15</v>
      </c>
      <c r="AF23" s="7">
        <f>G42</f>
        <v>0</v>
      </c>
      <c r="AG23" s="8">
        <f t="shared" si="4"/>
        <v>0</v>
      </c>
      <c r="AH23" s="8">
        <f t="shared" si="5"/>
        <v>0</v>
      </c>
      <c r="AI23" s="8">
        <f t="shared" si="2"/>
        <v>0</v>
      </c>
      <c r="AJ23" s="8">
        <f t="shared" si="3"/>
        <v>0</v>
      </c>
    </row>
    <row r="24" spans="1:36" ht="15" customHeight="1" x14ac:dyDescent="0.2">
      <c r="A24" s="124" t="s">
        <v>133</v>
      </c>
      <c r="B24" s="124"/>
      <c r="C24" s="124"/>
      <c r="D24" s="124"/>
      <c r="E24" s="124"/>
      <c r="F24" s="92">
        <v>0</v>
      </c>
      <c r="G24" s="93" t="s">
        <v>7</v>
      </c>
      <c r="I24" s="168"/>
      <c r="J24" s="169"/>
      <c r="K24" s="169"/>
      <c r="L24" s="169"/>
      <c r="M24" s="169"/>
      <c r="N24" s="169"/>
      <c r="O24" s="170"/>
      <c r="P24" s="161"/>
      <c r="Q24" s="163"/>
      <c r="R24" s="113"/>
      <c r="S24" s="114"/>
      <c r="T24" s="114"/>
      <c r="U24" s="114"/>
      <c r="V24" s="114"/>
      <c r="W24" s="114"/>
      <c r="X24" s="115"/>
      <c r="AA24" s="2" t="s">
        <v>143</v>
      </c>
      <c r="AB24" s="4">
        <v>60</v>
      </c>
      <c r="AC24" s="4">
        <v>80</v>
      </c>
      <c r="AD24" s="4">
        <v>88</v>
      </c>
      <c r="AE24" s="4">
        <v>88</v>
      </c>
      <c r="AF24" s="7">
        <f>G43</f>
        <v>0</v>
      </c>
      <c r="AG24" s="8">
        <f t="shared" si="4"/>
        <v>0</v>
      </c>
      <c r="AH24" s="8">
        <f t="shared" si="5"/>
        <v>0</v>
      </c>
      <c r="AI24" s="8">
        <f t="shared" si="2"/>
        <v>0</v>
      </c>
      <c r="AJ24" s="8">
        <f t="shared" si="3"/>
        <v>0</v>
      </c>
    </row>
    <row r="25" spans="1:36" ht="15" customHeight="1" x14ac:dyDescent="0.2">
      <c r="A25" s="123" t="s">
        <v>134</v>
      </c>
      <c r="B25" s="123"/>
      <c r="C25" s="123"/>
      <c r="D25" s="123"/>
      <c r="E25" s="123"/>
      <c r="F25" s="80">
        <v>0</v>
      </c>
      <c r="G25" s="79" t="s">
        <v>7</v>
      </c>
      <c r="AA25" s="2" t="s">
        <v>145</v>
      </c>
      <c r="AB25" s="4">
        <v>53</v>
      </c>
      <c r="AC25" s="4">
        <v>53</v>
      </c>
      <c r="AD25" s="4">
        <v>75</v>
      </c>
      <c r="AE25" s="4">
        <v>75</v>
      </c>
      <c r="AF25" s="7">
        <f>G44</f>
        <v>0</v>
      </c>
      <c r="AG25" s="8">
        <f t="shared" si="4"/>
        <v>0</v>
      </c>
      <c r="AH25" s="8">
        <f t="shared" si="5"/>
        <v>0</v>
      </c>
      <c r="AI25" s="8">
        <f t="shared" si="2"/>
        <v>0</v>
      </c>
      <c r="AJ25" s="8">
        <f t="shared" si="3"/>
        <v>0</v>
      </c>
    </row>
    <row r="26" spans="1:36" ht="15" customHeight="1" x14ac:dyDescent="0.2">
      <c r="I26" s="141" t="s">
        <v>51</v>
      </c>
      <c r="J26" s="142"/>
      <c r="K26" s="142"/>
      <c r="L26" s="142"/>
      <c r="M26" s="142"/>
      <c r="N26" s="142"/>
      <c r="O26" s="143"/>
      <c r="P26" s="160">
        <f>MAX(AB27:AE27)</f>
        <v>0</v>
      </c>
      <c r="Q26" s="162" t="s">
        <v>48</v>
      </c>
      <c r="R26" s="116" t="s">
        <v>154</v>
      </c>
      <c r="S26" s="117"/>
      <c r="T26" s="117"/>
      <c r="U26" s="117"/>
      <c r="V26" s="117"/>
      <c r="W26" s="117"/>
      <c r="X26" s="118"/>
      <c r="AA26" s="2">
        <f>F21</f>
        <v>12345</v>
      </c>
      <c r="AB26" s="3">
        <f>F22</f>
        <v>0</v>
      </c>
      <c r="AC26" s="3">
        <f>F23</f>
        <v>0</v>
      </c>
      <c r="AD26" s="3">
        <f>F24</f>
        <v>0</v>
      </c>
      <c r="AE26" s="3">
        <f>F25</f>
        <v>0</v>
      </c>
      <c r="AF26" s="7">
        <f>G45</f>
        <v>0</v>
      </c>
      <c r="AG26" s="8">
        <f t="shared" si="4"/>
        <v>0</v>
      </c>
      <c r="AH26" s="8">
        <f t="shared" si="5"/>
        <v>0</v>
      </c>
      <c r="AI26" s="8">
        <f t="shared" si="2"/>
        <v>0</v>
      </c>
      <c r="AJ26" s="8">
        <f t="shared" si="3"/>
        <v>0</v>
      </c>
    </row>
    <row r="27" spans="1:36" ht="15" customHeight="1" x14ac:dyDescent="0.2">
      <c r="A27" s="207" t="s">
        <v>8</v>
      </c>
      <c r="B27" s="208"/>
      <c r="C27" s="209"/>
      <c r="D27" s="207" t="s">
        <v>9</v>
      </c>
      <c r="E27" s="208"/>
      <c r="F27" s="209"/>
      <c r="G27" s="203" t="s">
        <v>139</v>
      </c>
      <c r="I27" s="144"/>
      <c r="J27" s="145"/>
      <c r="K27" s="145"/>
      <c r="L27" s="145"/>
      <c r="M27" s="145"/>
      <c r="N27" s="145"/>
      <c r="O27" s="146"/>
      <c r="P27" s="161"/>
      <c r="Q27" s="163"/>
      <c r="R27" s="116"/>
      <c r="S27" s="117"/>
      <c r="T27" s="117"/>
      <c r="U27" s="117"/>
      <c r="V27" s="117"/>
      <c r="W27" s="117"/>
      <c r="X27" s="118"/>
      <c r="AA27" s="6"/>
      <c r="AB27" s="10">
        <f>IF(F14=0,0,AB50/F14*60)</f>
        <v>0</v>
      </c>
      <c r="AC27" s="10">
        <f>IF(F15=0,0,AC50/F15*60)</f>
        <v>0</v>
      </c>
      <c r="AD27" s="10">
        <f>IF(F16=0,0,AD50/F16*60)</f>
        <v>0</v>
      </c>
      <c r="AE27" s="10">
        <f>IF(F17=0,0,AE50/F17*60)</f>
        <v>0</v>
      </c>
      <c r="AF27" s="11"/>
      <c r="AG27" s="10">
        <f>SUM(AG8:AG26)/1000</f>
        <v>0</v>
      </c>
      <c r="AH27" s="10">
        <f>SUM(AH8:AH26)/1000</f>
        <v>0</v>
      </c>
      <c r="AI27" s="10">
        <f>SUM(AI8:AI26)/1000</f>
        <v>0</v>
      </c>
      <c r="AJ27" s="10">
        <f>SUM(AJ8:AJ26)/1000</f>
        <v>0</v>
      </c>
    </row>
    <row r="28" spans="1:36" ht="15" customHeight="1" x14ac:dyDescent="0.2">
      <c r="A28" s="210"/>
      <c r="B28" s="211"/>
      <c r="C28" s="212"/>
      <c r="D28" s="210"/>
      <c r="E28" s="211"/>
      <c r="F28" s="212"/>
      <c r="G28" s="204"/>
      <c r="I28" s="213" t="s">
        <v>49</v>
      </c>
      <c r="J28" s="214"/>
      <c r="K28" s="214"/>
      <c r="L28" s="214"/>
      <c r="M28" s="214"/>
      <c r="N28" s="214"/>
      <c r="O28" s="215"/>
      <c r="P28" s="84">
        <f>AH50/1000</f>
        <v>0</v>
      </c>
      <c r="Q28" s="85" t="s">
        <v>48</v>
      </c>
      <c r="X28" s="66"/>
      <c r="Y28" s="66"/>
      <c r="AA28" s="6"/>
      <c r="AB28" s="6"/>
      <c r="AC28" s="6"/>
      <c r="AD28" s="6"/>
      <c r="AE28" s="6"/>
      <c r="AF28" s="6"/>
      <c r="AG28" s="6"/>
      <c r="AH28" s="6"/>
      <c r="AI28" s="6"/>
      <c r="AJ28" s="6"/>
    </row>
    <row r="29" spans="1:36" ht="15" customHeight="1" x14ac:dyDescent="0.2">
      <c r="A29" s="206" t="s">
        <v>125</v>
      </c>
      <c r="B29" s="206"/>
      <c r="C29" s="206"/>
      <c r="D29" s="205" t="s">
        <v>20</v>
      </c>
      <c r="E29" s="205"/>
      <c r="F29" s="205"/>
      <c r="G29" s="81" t="s">
        <v>74</v>
      </c>
      <c r="I29" s="157" t="s">
        <v>50</v>
      </c>
      <c r="J29" s="158"/>
      <c r="K29" s="158"/>
      <c r="L29" s="158"/>
      <c r="M29" s="158"/>
      <c r="N29" s="158"/>
      <c r="O29" s="159"/>
      <c r="P29" s="97">
        <f>(AH50/1000)*2</f>
        <v>0</v>
      </c>
      <c r="Q29" s="98" t="s">
        <v>48</v>
      </c>
      <c r="X29" s="66"/>
      <c r="Y29" s="66"/>
      <c r="AA29" s="6"/>
      <c r="AB29" s="188" t="s">
        <v>39</v>
      </c>
      <c r="AC29" s="188"/>
      <c r="AD29" s="188"/>
      <c r="AE29" s="188"/>
      <c r="AF29" s="188"/>
      <c r="AG29" s="10">
        <f>AH27-(AH17+AH18+AH20)/1000</f>
        <v>0</v>
      </c>
      <c r="AH29" s="6"/>
      <c r="AI29" s="6"/>
      <c r="AJ29" s="24"/>
    </row>
    <row r="30" spans="1:36" ht="15" customHeight="1" x14ac:dyDescent="0.2">
      <c r="A30" s="254" t="s">
        <v>63</v>
      </c>
      <c r="B30" s="255"/>
      <c r="C30" s="255"/>
      <c r="D30" s="255"/>
      <c r="E30" s="255"/>
      <c r="F30" s="256"/>
      <c r="G30" s="94" t="s">
        <v>74</v>
      </c>
      <c r="X30" s="48"/>
      <c r="Y30" s="48"/>
      <c r="Z30" s="73" t="s">
        <v>73</v>
      </c>
      <c r="AA30" s="1"/>
      <c r="AB30" s="1"/>
      <c r="AC30" s="1"/>
      <c r="AD30" s="1"/>
      <c r="AE30" s="1"/>
      <c r="AF30" s="1"/>
      <c r="AG30" s="1"/>
      <c r="AH30" s="1"/>
      <c r="AI30" s="1"/>
      <c r="AJ30" s="24"/>
    </row>
    <row r="31" spans="1:36" ht="15" customHeight="1" x14ac:dyDescent="0.2">
      <c r="A31" s="138" t="s">
        <v>62</v>
      </c>
      <c r="B31" s="139"/>
      <c r="C31" s="139"/>
      <c r="D31" s="139"/>
      <c r="E31" s="139"/>
      <c r="F31" s="140"/>
      <c r="G31" s="81">
        <v>0</v>
      </c>
      <c r="I31" s="176" t="s">
        <v>53</v>
      </c>
      <c r="J31" s="177"/>
      <c r="K31" s="177"/>
      <c r="L31" s="177"/>
      <c r="M31" s="177"/>
      <c r="N31" s="177"/>
      <c r="O31" s="178"/>
      <c r="P31" s="160">
        <f>AG29</f>
        <v>0</v>
      </c>
      <c r="Q31" s="162" t="s">
        <v>48</v>
      </c>
      <c r="R31" s="49"/>
      <c r="V31" s="36"/>
      <c r="W31" s="37"/>
      <c r="X31" s="48"/>
      <c r="Y31" s="48"/>
      <c r="Z31" s="73" t="s">
        <v>74</v>
      </c>
      <c r="AA31" s="234" t="s">
        <v>8</v>
      </c>
      <c r="AB31" s="218" t="s">
        <v>10</v>
      </c>
      <c r="AC31" s="219"/>
      <c r="AD31" s="219"/>
      <c r="AE31" s="220"/>
      <c r="AF31" s="221" t="s">
        <v>11</v>
      </c>
      <c r="AG31" s="216" t="s">
        <v>12</v>
      </c>
      <c r="AH31" s="217"/>
      <c r="AI31" s="1"/>
      <c r="AJ31" s="1"/>
    </row>
    <row r="32" spans="1:36" ht="15" customHeight="1" x14ac:dyDescent="0.2">
      <c r="A32" s="124" t="s">
        <v>21</v>
      </c>
      <c r="B32" s="124"/>
      <c r="C32" s="124"/>
      <c r="D32" s="257" t="s">
        <v>43</v>
      </c>
      <c r="E32" s="257"/>
      <c r="F32" s="257"/>
      <c r="G32" s="94" t="s">
        <v>74</v>
      </c>
      <c r="I32" s="168"/>
      <c r="J32" s="169"/>
      <c r="K32" s="169"/>
      <c r="L32" s="169"/>
      <c r="M32" s="169"/>
      <c r="N32" s="169"/>
      <c r="O32" s="170"/>
      <c r="P32" s="161"/>
      <c r="Q32" s="163"/>
      <c r="X32" s="48"/>
      <c r="Y32" s="48"/>
      <c r="Z32" s="17">
        <v>0</v>
      </c>
      <c r="AA32" s="235"/>
      <c r="AB32" s="74" t="s">
        <v>13</v>
      </c>
      <c r="AC32" s="74" t="s">
        <v>61</v>
      </c>
      <c r="AD32" s="74" t="s">
        <v>15</v>
      </c>
      <c r="AE32" s="74" t="s">
        <v>16</v>
      </c>
      <c r="AF32" s="222"/>
      <c r="AG32" s="18" t="s">
        <v>17</v>
      </c>
      <c r="AH32" s="19" t="s">
        <v>18</v>
      </c>
      <c r="AI32" s="1"/>
      <c r="AJ32" s="1"/>
    </row>
    <row r="33" spans="1:34" ht="15" customHeight="1" x14ac:dyDescent="0.2">
      <c r="A33" s="123" t="s">
        <v>22</v>
      </c>
      <c r="B33" s="123"/>
      <c r="C33" s="123"/>
      <c r="D33" s="253" t="s">
        <v>44</v>
      </c>
      <c r="E33" s="253"/>
      <c r="F33" s="253"/>
      <c r="G33" s="81">
        <v>0</v>
      </c>
      <c r="T33" s="75"/>
      <c r="X33" s="66"/>
      <c r="Y33" s="66"/>
      <c r="Z33" s="17">
        <v>1</v>
      </c>
      <c r="AA33" s="54" t="s">
        <v>19</v>
      </c>
      <c r="AB33" s="20">
        <f>(F14*IF(G29="Ja",1,0)*AB8)/60000</f>
        <v>0</v>
      </c>
      <c r="AC33" s="20">
        <f>(F15*IF(G29="Ja",1,0)*AC8)/60000</f>
        <v>0</v>
      </c>
      <c r="AD33" s="20">
        <f>(F16*IF(G29="Ja",1,0)*AD8)/60000</f>
        <v>0</v>
      </c>
      <c r="AE33" s="20">
        <f>(F17*IF(G29="Ja",1,0)*AE8)/60000</f>
        <v>0</v>
      </c>
      <c r="AF33" s="20">
        <f t="shared" ref="AF33:AF39" si="6">SUM(AB33:AE33)</f>
        <v>0</v>
      </c>
      <c r="AG33" s="27">
        <f>IF(G29="Ja",AE8,0)*24/0.85/230</f>
        <v>0</v>
      </c>
      <c r="AH33" s="27">
        <f>IF(G29="Ja",AE8,0)*24/0.85/230</f>
        <v>0</v>
      </c>
    </row>
    <row r="34" spans="1:34" ht="15" customHeight="1" x14ac:dyDescent="0.2">
      <c r="A34" s="128" t="s">
        <v>126</v>
      </c>
      <c r="B34" s="128"/>
      <c r="C34" s="128"/>
      <c r="D34" s="129" t="s">
        <v>45</v>
      </c>
      <c r="E34" s="129"/>
      <c r="F34" s="129"/>
      <c r="G34" s="94">
        <v>0</v>
      </c>
      <c r="I34" s="181" t="s">
        <v>166</v>
      </c>
      <c r="J34" s="182"/>
      <c r="K34" s="182"/>
      <c r="L34" s="182"/>
      <c r="M34" s="183"/>
      <c r="N34" s="179" t="s">
        <v>13</v>
      </c>
      <c r="O34" s="133" t="s">
        <v>71</v>
      </c>
      <c r="P34" s="179" t="s">
        <v>15</v>
      </c>
      <c r="Q34" s="179" t="s">
        <v>58</v>
      </c>
      <c r="X34" s="66"/>
      <c r="Y34" s="66"/>
      <c r="Z34" s="17">
        <v>2</v>
      </c>
      <c r="AA34" s="55" t="s">
        <v>80</v>
      </c>
      <c r="AB34" s="21">
        <f>(F14*IF(G30="Ja",1,0)*200)/60000</f>
        <v>0</v>
      </c>
      <c r="AC34" s="21">
        <f>(F15*IF(G30="Ja",1,0)*200)/60000</f>
        <v>0</v>
      </c>
      <c r="AD34" s="21">
        <f>(F16*IF(G30="Ja",1,0)*200)/60000</f>
        <v>0</v>
      </c>
      <c r="AE34" s="21">
        <f>(F17*IF(G30="Ja",1,0)*200)/60000</f>
        <v>0</v>
      </c>
      <c r="AF34" s="21">
        <f t="shared" si="6"/>
        <v>0</v>
      </c>
      <c r="AG34" s="28">
        <f>IF(G30="Ja",200,0)*24/0.85/230</f>
        <v>0</v>
      </c>
      <c r="AH34" s="28">
        <f>IF(G30="Ja",200,0)*24/0.85/230</f>
        <v>0</v>
      </c>
    </row>
    <row r="35" spans="1:34" ht="15" customHeight="1" x14ac:dyDescent="0.2">
      <c r="A35" s="138" t="s">
        <v>62</v>
      </c>
      <c r="B35" s="139"/>
      <c r="C35" s="139"/>
      <c r="D35" s="139"/>
      <c r="E35" s="139"/>
      <c r="F35" s="140"/>
      <c r="G35" s="82">
        <v>0</v>
      </c>
      <c r="I35" s="184"/>
      <c r="J35" s="185"/>
      <c r="K35" s="185"/>
      <c r="L35" s="185"/>
      <c r="M35" s="186"/>
      <c r="N35" s="180"/>
      <c r="O35" s="134"/>
      <c r="P35" s="180"/>
      <c r="Q35" s="180"/>
      <c r="X35" s="52"/>
      <c r="Y35" s="52"/>
      <c r="Z35" s="17">
        <v>3</v>
      </c>
      <c r="AA35" s="54" t="s">
        <v>81</v>
      </c>
      <c r="AB35" s="20">
        <f>(F14*G31*40)/60000</f>
        <v>0</v>
      </c>
      <c r="AC35" s="20">
        <f>(F15*G31*40)/60000</f>
        <v>0</v>
      </c>
      <c r="AD35" s="20">
        <f>(F16*G31*40)/60000</f>
        <v>0</v>
      </c>
      <c r="AE35" s="20">
        <f>(F17*G31*40)/60000</f>
        <v>0</v>
      </c>
      <c r="AF35" s="20">
        <f t="shared" si="6"/>
        <v>0</v>
      </c>
      <c r="AG35" s="27">
        <f>IF(G31=0,0,40)*24/0.85/230</f>
        <v>0</v>
      </c>
      <c r="AH35" s="27">
        <f>AG35*G31</f>
        <v>0</v>
      </c>
    </row>
    <row r="36" spans="1:34" ht="15" customHeight="1" x14ac:dyDescent="0.2">
      <c r="A36" s="132" t="s">
        <v>25</v>
      </c>
      <c r="B36" s="132"/>
      <c r="C36" s="132"/>
      <c r="D36" s="131" t="s">
        <v>29</v>
      </c>
      <c r="E36" s="131"/>
      <c r="F36" s="131"/>
      <c r="G36" s="94" t="s">
        <v>74</v>
      </c>
      <c r="I36" s="171" t="s">
        <v>67</v>
      </c>
      <c r="J36" s="172"/>
      <c r="K36" s="172"/>
      <c r="L36" s="172"/>
      <c r="M36" s="86" t="s">
        <v>6</v>
      </c>
      <c r="N36" s="87">
        <f>((SUM(AG8:AG14,AG20:AG26))+((G40/100^2*8^2)*0.52/24*1000))/1000*24/0.7</f>
        <v>0</v>
      </c>
      <c r="O36" s="87">
        <f>((SUM(AH8:AH14,AH20:AH26))+((H20/100^2*8^2)*0.52/24*1000))/1000*24/0.7</f>
        <v>0</v>
      </c>
      <c r="P36" s="87">
        <f>(SUM(AI8:AI14,AI20:AI26))/1000*24/0.7</f>
        <v>0</v>
      </c>
      <c r="Q36" s="88">
        <f>(SUM(AJ8:AJ14,AJ20:AJ26))/1000*24/0.7</f>
        <v>0</v>
      </c>
      <c r="R36" s="47"/>
      <c r="X36" s="53"/>
      <c r="Y36" s="53"/>
      <c r="Z36" s="17">
        <v>4</v>
      </c>
      <c r="AA36" s="55" t="s">
        <v>21</v>
      </c>
      <c r="AB36" s="21">
        <f>(F14*IF(G32="Ja",1,0)*AB11)/60000</f>
        <v>0</v>
      </c>
      <c r="AC36" s="21">
        <f>(F15*IF(G32="Ja",1,0)*AC11)/60000</f>
        <v>0</v>
      </c>
      <c r="AD36" s="21">
        <f>(F16*IF(G32="Ja",1,0)*AD11)/60000</f>
        <v>0</v>
      </c>
      <c r="AE36" s="21">
        <f>(F17*IF(G32="Ja",1,0)*AE11)/60000</f>
        <v>0</v>
      </c>
      <c r="AF36" s="21">
        <f t="shared" si="6"/>
        <v>0</v>
      </c>
      <c r="AG36" s="28">
        <f>IF(G32="Ja",AE11,0)*24/0.85/230</f>
        <v>0</v>
      </c>
      <c r="AH36" s="28">
        <f>IF(G32="Ja",AE11,0)*24/0.85/230</f>
        <v>0</v>
      </c>
    </row>
    <row r="37" spans="1:34" ht="15" customHeight="1" x14ac:dyDescent="0.2">
      <c r="A37" s="122" t="s">
        <v>127</v>
      </c>
      <c r="B37" s="122"/>
      <c r="C37" s="122"/>
      <c r="D37" s="130" t="s">
        <v>28</v>
      </c>
      <c r="E37" s="130"/>
      <c r="F37" s="130"/>
      <c r="G37" s="82">
        <v>0</v>
      </c>
      <c r="I37" s="173" t="s">
        <v>130</v>
      </c>
      <c r="J37" s="174"/>
      <c r="K37" s="174"/>
      <c r="L37" s="174"/>
      <c r="M37" s="99" t="s">
        <v>6</v>
      </c>
      <c r="N37" s="100">
        <f>AG17/1000*24</f>
        <v>0</v>
      </c>
      <c r="O37" s="100">
        <f>AH17/1000*24</f>
        <v>0</v>
      </c>
      <c r="P37" s="100">
        <f>((AI17)+(G39/100^2*32^2)*0.52/24*1000)/1000*24</f>
        <v>0</v>
      </c>
      <c r="Q37" s="101">
        <f>((AJ17)+(G39/100^2*70.71^2)*0.52/24*1000)/1000*24</f>
        <v>0</v>
      </c>
      <c r="R37" s="47"/>
      <c r="X37" s="53"/>
      <c r="Y37" s="53"/>
      <c r="Z37" s="17">
        <v>5</v>
      </c>
      <c r="AA37" s="56" t="s">
        <v>22</v>
      </c>
      <c r="AB37" s="20">
        <f>(F14*G33*AB12)/60000</f>
        <v>0</v>
      </c>
      <c r="AC37" s="20">
        <f>(F15*G33*AC12)/60000</f>
        <v>0</v>
      </c>
      <c r="AD37" s="20">
        <f>(F16*G33*AD12)/60000</f>
        <v>0</v>
      </c>
      <c r="AE37" s="20">
        <f>(F17*G33*AE12)/60000</f>
        <v>0</v>
      </c>
      <c r="AF37" s="20">
        <f t="shared" si="6"/>
        <v>0</v>
      </c>
      <c r="AG37" s="27">
        <f>IF(G33=0,0,AE12)*24/0.85/230</f>
        <v>0</v>
      </c>
      <c r="AH37" s="27">
        <f>AG37*G33</f>
        <v>0</v>
      </c>
    </row>
    <row r="38" spans="1:34" ht="15" customHeight="1" x14ac:dyDescent="0.2">
      <c r="A38" s="135" t="s">
        <v>148</v>
      </c>
      <c r="B38" s="136"/>
      <c r="C38" s="136"/>
      <c r="D38" s="136"/>
      <c r="E38" s="136"/>
      <c r="F38" s="137"/>
      <c r="G38" s="95"/>
      <c r="I38" s="258" t="s">
        <v>59</v>
      </c>
      <c r="J38" s="259"/>
      <c r="K38" s="259"/>
      <c r="L38" s="260"/>
      <c r="M38" s="147" t="s">
        <v>60</v>
      </c>
      <c r="N38" s="149">
        <f>(N36+N37)/0.29307107</f>
        <v>0</v>
      </c>
      <c r="O38" s="149">
        <f>(O36+O37)/0.29307107</f>
        <v>0</v>
      </c>
      <c r="P38" s="149">
        <f>(P36+P37)/0.29307107</f>
        <v>0</v>
      </c>
      <c r="Q38" s="149">
        <f>(Q36+Q37)/0.29307107</f>
        <v>0</v>
      </c>
      <c r="R38" s="49"/>
      <c r="V38" s="36"/>
      <c r="W38" s="37"/>
      <c r="Z38" s="17">
        <v>6</v>
      </c>
      <c r="AA38" s="57" t="s">
        <v>23</v>
      </c>
      <c r="AB38" s="21">
        <f>(F14*G34*AB13)/60000</f>
        <v>0</v>
      </c>
      <c r="AC38" s="21">
        <f>(F15*G34*AC13)/60000</f>
        <v>0</v>
      </c>
      <c r="AD38" s="21">
        <f>(F16*G34*AD13)/60000</f>
        <v>0</v>
      </c>
      <c r="AE38" s="21">
        <f>(F17*G34*AE13)/60000</f>
        <v>0</v>
      </c>
      <c r="AF38" s="21">
        <f t="shared" si="6"/>
        <v>0</v>
      </c>
      <c r="AG38" s="28">
        <f>IF(G34=0,0,AE13)*24/0.85/230</f>
        <v>0</v>
      </c>
      <c r="AH38" s="28">
        <f>AG38*G34</f>
        <v>0</v>
      </c>
    </row>
    <row r="39" spans="1:34" ht="15" customHeight="1" x14ac:dyDescent="0.2">
      <c r="A39" s="242" t="s">
        <v>82</v>
      </c>
      <c r="B39" s="243"/>
      <c r="C39" s="243"/>
      <c r="D39" s="243"/>
      <c r="E39" s="243"/>
      <c r="F39" s="244"/>
      <c r="G39" s="83">
        <v>0</v>
      </c>
      <c r="I39" s="261"/>
      <c r="J39" s="262"/>
      <c r="K39" s="262"/>
      <c r="L39" s="263"/>
      <c r="M39" s="148"/>
      <c r="N39" s="150"/>
      <c r="O39" s="150"/>
      <c r="P39" s="150"/>
      <c r="Q39" s="150"/>
      <c r="X39" s="53"/>
      <c r="Y39" s="53"/>
      <c r="Z39" s="17">
        <v>7</v>
      </c>
      <c r="AA39" s="54" t="s">
        <v>81</v>
      </c>
      <c r="AB39" s="20">
        <f>(F14*G35*40)/60000</f>
        <v>0</v>
      </c>
      <c r="AC39" s="20">
        <f>(F15*G35*40)/60000</f>
        <v>0</v>
      </c>
      <c r="AD39" s="20">
        <f>(F16*G35*40)/60000</f>
        <v>0</v>
      </c>
      <c r="AE39" s="20">
        <f>(F17*G35*40)/60000</f>
        <v>0</v>
      </c>
      <c r="AF39" s="20">
        <f t="shared" si="6"/>
        <v>0</v>
      </c>
      <c r="AG39" s="27">
        <f>IF(G35=0,0,40)*24/0.85/230</f>
        <v>0</v>
      </c>
      <c r="AH39" s="27">
        <f>AG39*G35</f>
        <v>0</v>
      </c>
    </row>
    <row r="40" spans="1:34" ht="15" customHeight="1" x14ac:dyDescent="0.2">
      <c r="A40" s="125" t="s">
        <v>83</v>
      </c>
      <c r="B40" s="126"/>
      <c r="C40" s="126"/>
      <c r="D40" s="126"/>
      <c r="E40" s="126"/>
      <c r="F40" s="127"/>
      <c r="G40" s="96">
        <v>0</v>
      </c>
      <c r="X40" s="53"/>
      <c r="Y40" s="53"/>
      <c r="Z40" s="17">
        <v>8</v>
      </c>
      <c r="AA40" s="58" t="s">
        <v>25</v>
      </c>
      <c r="AB40" s="21">
        <f>(F14*(IF(G36="Ja",1,0)*AB20))/60000</f>
        <v>0</v>
      </c>
      <c r="AC40" s="21">
        <f>(F15*(IF(G36="Ja",1,0)*AC20))/60000</f>
        <v>0</v>
      </c>
      <c r="AD40" s="21">
        <f>(F16*(IF(G36="Ja",1,0)*AD20))/60000</f>
        <v>0</v>
      </c>
      <c r="AE40" s="21">
        <f>(F17*(IF(G36="Ja",1,0)*AE20))/60000</f>
        <v>0</v>
      </c>
      <c r="AF40" s="21">
        <f>SUM(AB40:AE40)</f>
        <v>0</v>
      </c>
      <c r="AG40" s="41">
        <f>IF(G36="Ja",2000,0)</f>
        <v>0</v>
      </c>
      <c r="AH40" s="41">
        <f>IF(G36="Ja",2000,0)</f>
        <v>0</v>
      </c>
    </row>
    <row r="41" spans="1:34" ht="15" customHeight="1" x14ac:dyDescent="0.2">
      <c r="A41" s="122" t="s">
        <v>128</v>
      </c>
      <c r="B41" s="122"/>
      <c r="C41" s="122"/>
      <c r="D41" s="130" t="s">
        <v>30</v>
      </c>
      <c r="E41" s="130"/>
      <c r="F41" s="130"/>
      <c r="G41" s="81">
        <v>0</v>
      </c>
      <c r="I41" s="120" t="s">
        <v>160</v>
      </c>
      <c r="J41" s="120"/>
      <c r="K41" s="120"/>
      <c r="L41" s="120"/>
      <c r="M41" s="120"/>
      <c r="N41" s="120"/>
      <c r="O41" s="120"/>
      <c r="P41" s="120"/>
      <c r="Q41" s="120"/>
      <c r="Z41" s="17">
        <v>9</v>
      </c>
      <c r="AA41" s="59" t="s">
        <v>24</v>
      </c>
      <c r="AB41" s="20">
        <f>(F14*G37*AB17)/60000</f>
        <v>0</v>
      </c>
      <c r="AC41" s="20">
        <f>(F15*G37*AC17)/60000</f>
        <v>0</v>
      </c>
      <c r="AD41" s="20">
        <f>(F16*G37*AD17)/60000</f>
        <v>0</v>
      </c>
      <c r="AE41" s="20">
        <f>(F17*G37*AE17)/60000</f>
        <v>0</v>
      </c>
      <c r="AF41" s="20">
        <f>SUM(AB41:AE41)</f>
        <v>0</v>
      </c>
      <c r="AG41" s="27">
        <f>IF(G37=0,0,AE17)*24/0.85/230</f>
        <v>0</v>
      </c>
      <c r="AH41" s="27">
        <f>AG41*G37</f>
        <v>0</v>
      </c>
    </row>
    <row r="42" spans="1:34" ht="15" customHeight="1" x14ac:dyDescent="0.2">
      <c r="A42" s="132" t="s">
        <v>129</v>
      </c>
      <c r="B42" s="132"/>
      <c r="C42" s="132"/>
      <c r="D42" s="131" t="s">
        <v>31</v>
      </c>
      <c r="E42" s="131"/>
      <c r="F42" s="131"/>
      <c r="G42" s="94">
        <v>0</v>
      </c>
      <c r="I42" s="120"/>
      <c r="J42" s="120"/>
      <c r="K42" s="120"/>
      <c r="L42" s="120"/>
      <c r="M42" s="120"/>
      <c r="N42" s="120"/>
      <c r="O42" s="120"/>
      <c r="P42" s="120"/>
      <c r="Q42" s="120"/>
      <c r="Z42" s="17">
        <v>10</v>
      </c>
      <c r="AA42" s="64"/>
      <c r="AB42" s="45"/>
      <c r="AC42" s="45"/>
      <c r="AD42" s="45"/>
      <c r="AE42" s="45"/>
      <c r="AF42" s="45"/>
      <c r="AG42" s="32"/>
      <c r="AH42" s="32"/>
    </row>
    <row r="43" spans="1:34" ht="15" customHeight="1" x14ac:dyDescent="0.2">
      <c r="A43" s="122" t="s">
        <v>140</v>
      </c>
      <c r="B43" s="122"/>
      <c r="C43" s="122"/>
      <c r="D43" s="130" t="s">
        <v>141</v>
      </c>
      <c r="E43" s="130"/>
      <c r="F43" s="130"/>
      <c r="G43" s="81">
        <v>0</v>
      </c>
      <c r="H43" s="35"/>
      <c r="Z43" s="17">
        <v>11</v>
      </c>
      <c r="AA43" s="62" t="s">
        <v>78</v>
      </c>
      <c r="AB43" s="42"/>
      <c r="AC43" s="42"/>
      <c r="AD43" s="20">
        <f>(F16*AD18)/60000</f>
        <v>0</v>
      </c>
      <c r="AE43" s="20">
        <f>(F17*AE18)/60000</f>
        <v>0</v>
      </c>
      <c r="AF43" s="20">
        <f>SUM(AD43:AE43)</f>
        <v>0</v>
      </c>
      <c r="AG43" s="27">
        <f>IF(G39=0,0,AE18)*24/0.95/230</f>
        <v>0</v>
      </c>
      <c r="AH43" s="27">
        <f>IF(G39=0,0,AE18)*24/0.95/230</f>
        <v>0</v>
      </c>
    </row>
    <row r="44" spans="1:34" ht="15" customHeight="1" x14ac:dyDescent="0.2">
      <c r="A44" s="132" t="s">
        <v>145</v>
      </c>
      <c r="B44" s="132"/>
      <c r="C44" s="132"/>
      <c r="D44" s="131" t="s">
        <v>144</v>
      </c>
      <c r="E44" s="131"/>
      <c r="F44" s="131"/>
      <c r="G44" s="94">
        <v>0</v>
      </c>
      <c r="H44" s="35"/>
      <c r="I44" s="121" t="s">
        <v>77</v>
      </c>
      <c r="J44" s="121"/>
      <c r="K44" s="121"/>
      <c r="L44" s="121"/>
      <c r="M44" s="121"/>
      <c r="N44" s="121"/>
      <c r="O44" s="121"/>
      <c r="P44" s="121"/>
      <c r="Q44" s="121"/>
      <c r="Z44" s="17">
        <v>12</v>
      </c>
      <c r="AA44" s="63" t="s">
        <v>79</v>
      </c>
      <c r="AB44" s="21">
        <f>(F14*AB15)/60000</f>
        <v>0</v>
      </c>
      <c r="AC44" s="30">
        <f>(F15*AC15)/60000</f>
        <v>0</v>
      </c>
      <c r="AD44" s="31"/>
      <c r="AE44" s="31"/>
      <c r="AF44" s="21">
        <f>SUM(AB44:AC44)</f>
        <v>0</v>
      </c>
      <c r="AG44" s="32"/>
      <c r="AH44" s="32"/>
    </row>
    <row r="45" spans="1:34" ht="15" customHeight="1" x14ac:dyDescent="0.2">
      <c r="A45" s="122">
        <f>F21</f>
        <v>12345</v>
      </c>
      <c r="B45" s="122"/>
      <c r="C45" s="122"/>
      <c r="D45" s="130"/>
      <c r="E45" s="130"/>
      <c r="F45" s="130"/>
      <c r="G45" s="81">
        <v>0</v>
      </c>
      <c r="H45" s="35"/>
      <c r="I45" s="121"/>
      <c r="J45" s="121"/>
      <c r="K45" s="121"/>
      <c r="L45" s="121"/>
      <c r="M45" s="121"/>
      <c r="N45" s="121"/>
      <c r="O45" s="121"/>
      <c r="P45" s="121"/>
      <c r="Q45" s="121"/>
      <c r="X45" s="37"/>
      <c r="Y45" s="37"/>
      <c r="Z45" s="17">
        <v>13</v>
      </c>
      <c r="AA45" s="59" t="s">
        <v>26</v>
      </c>
      <c r="AB45" s="20">
        <f>(F14*G41*AB22)/60000</f>
        <v>0</v>
      </c>
      <c r="AC45" s="20">
        <f>(F15*G41*AC22)/60000</f>
        <v>0</v>
      </c>
      <c r="AD45" s="20">
        <f>(F16*G41*AD22)/60000</f>
        <v>0</v>
      </c>
      <c r="AE45" s="20">
        <f>(F17*G41*AE22)/60000</f>
        <v>0</v>
      </c>
      <c r="AF45" s="20">
        <f>SUM(AB45:AE45)</f>
        <v>0</v>
      </c>
      <c r="AG45" s="27">
        <f>IF(G41=0,0,AE22)*24/0.85/230</f>
        <v>0</v>
      </c>
      <c r="AH45" s="27">
        <f>AG45*G41</f>
        <v>0</v>
      </c>
    </row>
    <row r="46" spans="1:34" ht="15" customHeight="1" x14ac:dyDescent="0.2">
      <c r="X46" s="37"/>
      <c r="Y46" s="37"/>
      <c r="Z46" s="17">
        <v>14</v>
      </c>
      <c r="AA46" s="58" t="s">
        <v>27</v>
      </c>
      <c r="AB46" s="21">
        <f>(F14*G42*AB23)/60000</f>
        <v>0</v>
      </c>
      <c r="AC46" s="21">
        <f>(F15*G42*AC23)/60000</f>
        <v>0</v>
      </c>
      <c r="AD46" s="41">
        <f>(F16*G42*AD23)/60000</f>
        <v>0</v>
      </c>
      <c r="AE46" s="21">
        <f>(F17*G42*AE23)/60000</f>
        <v>0</v>
      </c>
      <c r="AF46" s="21">
        <f>SUM(AB46:AE46)</f>
        <v>0</v>
      </c>
      <c r="AG46" s="28">
        <f>IF(G42=0,0,AE23)*24/0.85/230</f>
        <v>0</v>
      </c>
      <c r="AH46" s="28">
        <f>AG46*G42</f>
        <v>0</v>
      </c>
    </row>
    <row r="47" spans="1:34" ht="15" customHeight="1" x14ac:dyDescent="0.2">
      <c r="X47" s="38"/>
      <c r="Y47" s="38"/>
      <c r="Z47" s="17">
        <v>15</v>
      </c>
      <c r="AA47" s="59" t="s">
        <v>143</v>
      </c>
      <c r="AB47" s="20">
        <f>(F14*G43*AB24)/60000</f>
        <v>0</v>
      </c>
      <c r="AC47" s="20">
        <f>(F15*G43*AC24)/60000</f>
        <v>0</v>
      </c>
      <c r="AD47" s="20">
        <f>(F16*G43*AD24)/60000</f>
        <v>0</v>
      </c>
      <c r="AE47" s="20">
        <f>(F17*G43*AE24)/60000</f>
        <v>0</v>
      </c>
      <c r="AF47" s="20">
        <f>SUM(AD47:AE47)</f>
        <v>0</v>
      </c>
      <c r="AG47" s="27">
        <f>IF(G43=0,0,AE24)*24/0.85/230</f>
        <v>0</v>
      </c>
      <c r="AH47" s="27">
        <f>AG47*G43</f>
        <v>0</v>
      </c>
    </row>
    <row r="48" spans="1:34" ht="15" customHeight="1" x14ac:dyDescent="0.2">
      <c r="A48" s="119" t="s">
        <v>162</v>
      </c>
      <c r="B48" s="119"/>
      <c r="C48" s="119"/>
      <c r="D48" s="119"/>
      <c r="E48" s="119"/>
      <c r="F48" s="119"/>
      <c r="G48" s="119"/>
      <c r="H48" s="119"/>
      <c r="I48" s="119"/>
      <c r="J48" s="119"/>
      <c r="K48" s="119"/>
      <c r="L48" s="119"/>
      <c r="M48" s="119"/>
      <c r="N48" s="119"/>
      <c r="O48" s="119"/>
      <c r="P48" s="119"/>
      <c r="Q48" s="119"/>
      <c r="X48" s="38"/>
      <c r="Y48" s="38"/>
      <c r="Z48" s="17">
        <v>16</v>
      </c>
      <c r="AA48" s="58" t="s">
        <v>145</v>
      </c>
      <c r="AB48" s="21">
        <f>(F14*G44*AB25)/60000</f>
        <v>0</v>
      </c>
      <c r="AC48" s="21">
        <f>(F15*G44*AC25)/60000</f>
        <v>0</v>
      </c>
      <c r="AD48" s="21">
        <f>(F16*G44*AD25)/60000</f>
        <v>0</v>
      </c>
      <c r="AE48" s="21">
        <f>(F17*G44*AE25)/60000</f>
        <v>0</v>
      </c>
      <c r="AF48" s="21">
        <f>SUM(AD48:AE48)</f>
        <v>0</v>
      </c>
      <c r="AG48" s="41">
        <f>IF(G44=0,0,AE25)*24/0.85/230</f>
        <v>0</v>
      </c>
      <c r="AH48" s="41">
        <f>AG48*G44</f>
        <v>0</v>
      </c>
    </row>
    <row r="49" spans="1:36" ht="15" customHeight="1" x14ac:dyDescent="0.2">
      <c r="A49" s="119"/>
      <c r="B49" s="119"/>
      <c r="C49" s="119"/>
      <c r="D49" s="119"/>
      <c r="E49" s="119"/>
      <c r="F49" s="119"/>
      <c r="G49" s="119"/>
      <c r="H49" s="119"/>
      <c r="I49" s="119"/>
      <c r="J49" s="119"/>
      <c r="K49" s="119"/>
      <c r="L49" s="119"/>
      <c r="M49" s="119"/>
      <c r="N49" s="119"/>
      <c r="O49" s="119"/>
      <c r="P49" s="119"/>
      <c r="Q49" s="119"/>
      <c r="Z49" s="17">
        <v>17</v>
      </c>
      <c r="AA49" s="59" t="s">
        <v>70</v>
      </c>
      <c r="AB49" s="20">
        <f>(F14*G45*F22)/60000</f>
        <v>0</v>
      </c>
      <c r="AC49" s="20">
        <f>(F15*G45*F23)/60000</f>
        <v>0</v>
      </c>
      <c r="AD49" s="20">
        <f>(F16*G45*F24)/60000</f>
        <v>0</v>
      </c>
      <c r="AE49" s="20">
        <f>(F17*G45*F25)/60000</f>
        <v>0</v>
      </c>
      <c r="AF49" s="20">
        <f>SUM(AB49:AE49)</f>
        <v>0</v>
      </c>
      <c r="AG49" s="27">
        <f>IF(G45=0,0,F25)*24/0.85/230</f>
        <v>0</v>
      </c>
      <c r="AH49" s="27">
        <f>AG49*G45</f>
        <v>0</v>
      </c>
    </row>
    <row r="50" spans="1:36" ht="15" customHeight="1" x14ac:dyDescent="0.2">
      <c r="A50" s="119"/>
      <c r="B50" s="119"/>
      <c r="C50" s="119"/>
      <c r="D50" s="119"/>
      <c r="E50" s="119"/>
      <c r="F50" s="119"/>
      <c r="G50" s="119"/>
      <c r="H50" s="119"/>
      <c r="I50" s="119"/>
      <c r="J50" s="119"/>
      <c r="K50" s="119"/>
      <c r="L50" s="119"/>
      <c r="M50" s="119"/>
      <c r="N50" s="119"/>
      <c r="O50" s="119"/>
      <c r="P50" s="119"/>
      <c r="Q50" s="119"/>
      <c r="Z50" s="17">
        <v>18</v>
      </c>
      <c r="AA50" s="65" t="s">
        <v>11</v>
      </c>
      <c r="AB50" s="22">
        <f>SUM(AB33:AB49)</f>
        <v>0</v>
      </c>
      <c r="AC50" s="22">
        <f>SUM(AC33:AC49)</f>
        <v>0</v>
      </c>
      <c r="AD50" s="22">
        <f>SUM(AD33:AD49)</f>
        <v>0</v>
      </c>
      <c r="AE50" s="22">
        <f>SUM(AE33:AE49)</f>
        <v>0</v>
      </c>
      <c r="AF50" s="22">
        <f>SUM(AB50:AE50)</f>
        <v>0</v>
      </c>
      <c r="AG50" s="33"/>
      <c r="AH50" s="23">
        <f>SUM(AH33:AH49)</f>
        <v>0</v>
      </c>
      <c r="AJ50" s="50"/>
    </row>
    <row r="51" spans="1:36" ht="15" customHeight="1" x14ac:dyDescent="0.2">
      <c r="A51" s="119"/>
      <c r="B51" s="119"/>
      <c r="C51" s="119"/>
      <c r="D51" s="119"/>
      <c r="E51" s="119"/>
      <c r="F51" s="119"/>
      <c r="G51" s="119"/>
      <c r="H51" s="119"/>
      <c r="I51" s="119"/>
      <c r="J51" s="119"/>
      <c r="K51" s="119"/>
      <c r="L51" s="119"/>
      <c r="M51" s="119"/>
      <c r="N51" s="119"/>
      <c r="O51" s="119"/>
      <c r="P51" s="119"/>
      <c r="Q51" s="119"/>
      <c r="Z51" s="17">
        <v>19</v>
      </c>
      <c r="AA51" s="65" t="s">
        <v>46</v>
      </c>
      <c r="AB51" s="22">
        <f>IF(F14=0,0,AB50/F14*60)</f>
        <v>0</v>
      </c>
      <c r="AC51" s="22">
        <f>IF(F15=0,0,AC50/F15*60)</f>
        <v>0</v>
      </c>
      <c r="AD51" s="22">
        <f>IF(F16=0,0,AD50/F16*60)</f>
        <v>0</v>
      </c>
      <c r="AE51" s="22">
        <f>IF(F17=0,0,AE50/F17*60)</f>
        <v>0</v>
      </c>
      <c r="AF51" s="22"/>
      <c r="AG51" s="22"/>
      <c r="AH51" s="22"/>
      <c r="AJ51" s="50"/>
    </row>
    <row r="52" spans="1:36" ht="15" customHeight="1" x14ac:dyDescent="0.2">
      <c r="A52" s="119"/>
      <c r="B52" s="119"/>
      <c r="C52" s="119"/>
      <c r="D52" s="119"/>
      <c r="E52" s="119"/>
      <c r="F52" s="119"/>
      <c r="G52" s="119"/>
      <c r="H52" s="119"/>
      <c r="I52" s="119"/>
      <c r="J52" s="119"/>
      <c r="K52" s="119"/>
      <c r="L52" s="119"/>
      <c r="M52" s="119"/>
      <c r="N52" s="119"/>
      <c r="O52" s="119"/>
      <c r="P52" s="119"/>
      <c r="Q52" s="119"/>
      <c r="Z52" s="17">
        <v>20</v>
      </c>
      <c r="AG52" s="24"/>
      <c r="AH52" s="24"/>
      <c r="AI52" s="24"/>
      <c r="AJ52" s="26"/>
    </row>
    <row r="53" spans="1:36" ht="15" customHeight="1" x14ac:dyDescent="0.2">
      <c r="A53" s="119"/>
      <c r="B53" s="119"/>
      <c r="C53" s="119"/>
      <c r="D53" s="119"/>
      <c r="E53" s="119"/>
      <c r="F53" s="119"/>
      <c r="G53" s="119"/>
      <c r="H53" s="119"/>
      <c r="I53" s="119"/>
      <c r="J53" s="119"/>
      <c r="K53" s="119"/>
      <c r="L53" s="119"/>
      <c r="M53" s="119"/>
      <c r="N53" s="119"/>
      <c r="O53" s="119"/>
      <c r="P53" s="119"/>
      <c r="Q53" s="119"/>
      <c r="X53" s="39"/>
      <c r="Y53" s="39"/>
      <c r="Z53" s="17">
        <v>21</v>
      </c>
    </row>
    <row r="54" spans="1:36" ht="15" customHeight="1" x14ac:dyDescent="0.2">
      <c r="A54" s="119"/>
      <c r="B54" s="119"/>
      <c r="C54" s="119"/>
      <c r="D54" s="119"/>
      <c r="E54" s="119"/>
      <c r="F54" s="119"/>
      <c r="G54" s="119"/>
      <c r="H54" s="119"/>
      <c r="I54" s="119"/>
      <c r="J54" s="119"/>
      <c r="K54" s="119"/>
      <c r="L54" s="119"/>
      <c r="M54" s="119"/>
      <c r="N54" s="119"/>
      <c r="O54" s="119"/>
      <c r="P54" s="119"/>
      <c r="Q54" s="119"/>
      <c r="Z54" s="17">
        <v>22</v>
      </c>
    </row>
    <row r="55" spans="1:36" ht="15" customHeight="1" x14ac:dyDescent="0.2">
      <c r="A55" s="119"/>
      <c r="B55" s="119"/>
      <c r="C55" s="119"/>
      <c r="D55" s="119"/>
      <c r="E55" s="119"/>
      <c r="F55" s="119"/>
      <c r="G55" s="119"/>
      <c r="H55" s="119"/>
      <c r="I55" s="119"/>
      <c r="J55" s="119"/>
      <c r="K55" s="119"/>
      <c r="L55" s="119"/>
      <c r="M55" s="119"/>
      <c r="N55" s="119"/>
      <c r="O55" s="119"/>
      <c r="P55" s="119"/>
      <c r="Q55" s="119"/>
      <c r="U55" s="26"/>
      <c r="V55" s="26"/>
      <c r="Z55" s="17">
        <v>23</v>
      </c>
    </row>
    <row r="56" spans="1:36" ht="15" customHeight="1" x14ac:dyDescent="0.2">
      <c r="A56" s="119"/>
      <c r="B56" s="119"/>
      <c r="C56" s="119"/>
      <c r="D56" s="119"/>
      <c r="E56" s="119"/>
      <c r="F56" s="119"/>
      <c r="G56" s="119"/>
      <c r="H56" s="119"/>
      <c r="I56" s="119"/>
      <c r="J56" s="119"/>
      <c r="K56" s="119"/>
      <c r="L56" s="119"/>
      <c r="M56" s="119"/>
      <c r="N56" s="119"/>
      <c r="O56" s="119"/>
      <c r="P56" s="119"/>
      <c r="Q56" s="119"/>
      <c r="U56" s="26"/>
      <c r="V56" s="26"/>
      <c r="Z56" s="17">
        <v>24</v>
      </c>
    </row>
    <row r="57" spans="1:36" ht="15" customHeight="1" x14ac:dyDescent="0.2">
      <c r="U57" s="26"/>
      <c r="V57" s="26"/>
      <c r="Z57" s="17">
        <v>25</v>
      </c>
    </row>
    <row r="58" spans="1:36" ht="15" customHeight="1" x14ac:dyDescent="0.2">
      <c r="U58" s="26"/>
      <c r="V58" s="26"/>
      <c r="Z58" s="17">
        <v>26</v>
      </c>
    </row>
    <row r="59" spans="1:36" ht="15" customHeight="1" x14ac:dyDescent="0.2">
      <c r="U59" s="26"/>
      <c r="V59" s="26"/>
      <c r="Z59" s="17">
        <v>27</v>
      </c>
    </row>
    <row r="60" spans="1:36" ht="15" customHeight="1" x14ac:dyDescent="0.2">
      <c r="U60" s="26"/>
      <c r="V60" s="26"/>
      <c r="Z60" s="17">
        <v>28</v>
      </c>
    </row>
    <row r="61" spans="1:36" ht="15" customHeight="1" x14ac:dyDescent="0.2">
      <c r="U61" s="26"/>
      <c r="V61" s="26"/>
      <c r="Z61" s="17">
        <v>29</v>
      </c>
    </row>
    <row r="62" spans="1:36" ht="15" customHeight="1" x14ac:dyDescent="0.2">
      <c r="U62" s="26"/>
      <c r="V62" s="26"/>
      <c r="Z62" s="17">
        <v>30</v>
      </c>
    </row>
    <row r="63" spans="1:36" ht="15" customHeight="1" x14ac:dyDescent="0.2">
      <c r="U63" s="26"/>
      <c r="V63" s="26"/>
      <c r="Z63" s="17">
        <v>31</v>
      </c>
    </row>
    <row r="64" spans="1:36" ht="15" customHeight="1" x14ac:dyDescent="0.2">
      <c r="V64" s="26"/>
      <c r="Z64" s="17">
        <v>32</v>
      </c>
    </row>
    <row r="65" spans="8:36" ht="15" customHeight="1" x14ac:dyDescent="0.2">
      <c r="S65" s="26"/>
      <c r="T65" s="26"/>
      <c r="U65" s="26"/>
      <c r="V65" s="26"/>
      <c r="Z65" s="17">
        <v>33</v>
      </c>
    </row>
    <row r="66" spans="8:36" ht="15" customHeight="1" x14ac:dyDescent="0.2">
      <c r="S66" s="26"/>
      <c r="T66" s="60"/>
      <c r="U66" s="60"/>
      <c r="V66" s="26"/>
      <c r="Z66" s="17">
        <v>34</v>
      </c>
    </row>
    <row r="67" spans="8:36" ht="15" customHeight="1" x14ac:dyDescent="0.2">
      <c r="S67" s="26"/>
      <c r="T67" s="60"/>
      <c r="U67" s="60"/>
      <c r="V67" s="26"/>
      <c r="Z67" s="17">
        <v>35</v>
      </c>
    </row>
    <row r="68" spans="8:36" ht="15" customHeight="1" x14ac:dyDescent="0.2">
      <c r="S68" s="26"/>
      <c r="T68" s="61"/>
      <c r="U68" s="61"/>
      <c r="V68" s="26"/>
      <c r="Z68" s="17">
        <v>36</v>
      </c>
    </row>
    <row r="69" spans="8:36" ht="15" customHeight="1" x14ac:dyDescent="0.2">
      <c r="S69" s="26"/>
      <c r="T69" s="43"/>
      <c r="U69" s="43"/>
      <c r="V69" s="26"/>
      <c r="Z69" s="17">
        <v>37</v>
      </c>
      <c r="AA69" s="34"/>
    </row>
    <row r="70" spans="8:36" ht="15" customHeight="1" x14ac:dyDescent="0.2">
      <c r="H70" s="72"/>
      <c r="I70" s="72"/>
      <c r="J70" s="72"/>
      <c r="K70" s="72"/>
      <c r="L70" s="72"/>
      <c r="M70" s="72"/>
      <c r="N70" s="72"/>
      <c r="O70" s="72"/>
      <c r="P70" s="72"/>
      <c r="Q70" s="72"/>
      <c r="R70" s="72"/>
      <c r="S70" s="26"/>
      <c r="T70" s="43"/>
      <c r="U70" s="43"/>
      <c r="V70" s="26"/>
      <c r="Z70" s="17">
        <v>38</v>
      </c>
    </row>
    <row r="71" spans="8:36" ht="15" customHeight="1" x14ac:dyDescent="0.2">
      <c r="H71" s="72"/>
      <c r="I71" s="72"/>
      <c r="J71" s="72"/>
      <c r="K71" s="72"/>
      <c r="L71" s="72"/>
      <c r="M71" s="72"/>
      <c r="N71" s="72"/>
      <c r="O71" s="72"/>
      <c r="P71" s="72"/>
      <c r="Q71" s="72"/>
      <c r="R71" s="72"/>
      <c r="S71" s="26"/>
      <c r="T71" s="61"/>
      <c r="U71" s="61"/>
      <c r="V71" s="26"/>
      <c r="Z71" s="17">
        <v>39</v>
      </c>
    </row>
    <row r="72" spans="8:36" ht="15" customHeight="1" x14ac:dyDescent="0.2">
      <c r="H72" s="72"/>
      <c r="I72" s="72"/>
      <c r="J72" s="72"/>
      <c r="K72" s="72"/>
      <c r="L72" s="72"/>
      <c r="M72" s="72"/>
      <c r="N72" s="72"/>
      <c r="O72" s="72"/>
      <c r="P72" s="72"/>
      <c r="Q72" s="72"/>
      <c r="R72" s="72"/>
      <c r="S72" s="26"/>
      <c r="T72" s="12"/>
      <c r="U72" s="12"/>
      <c r="V72" s="26"/>
      <c r="Z72" s="17">
        <v>40</v>
      </c>
    </row>
    <row r="73" spans="8:36" ht="15" customHeight="1" x14ac:dyDescent="0.2">
      <c r="H73" s="72"/>
      <c r="I73" s="72"/>
      <c r="J73" s="72"/>
      <c r="K73" s="72"/>
      <c r="L73" s="72"/>
      <c r="M73" s="72"/>
      <c r="N73" s="72"/>
      <c r="O73" s="72"/>
      <c r="P73" s="72"/>
      <c r="Q73" s="72"/>
      <c r="R73" s="72"/>
      <c r="S73" s="26"/>
      <c r="T73" s="12"/>
      <c r="U73" s="12"/>
      <c r="V73" s="26"/>
      <c r="Z73" s="17">
        <v>41</v>
      </c>
    </row>
    <row r="74" spans="8:36" ht="15" customHeight="1" x14ac:dyDescent="0.2">
      <c r="H74" s="72"/>
      <c r="I74" s="72"/>
      <c r="J74" s="72"/>
      <c r="K74" s="72"/>
      <c r="L74" s="72"/>
      <c r="M74" s="72"/>
      <c r="N74" s="72"/>
      <c r="O74" s="72"/>
      <c r="P74" s="72"/>
      <c r="Q74" s="72"/>
      <c r="R74" s="72"/>
      <c r="S74" s="26"/>
      <c r="T74" s="12"/>
      <c r="U74" s="12"/>
      <c r="V74" s="26"/>
      <c r="Z74" s="17">
        <v>42</v>
      </c>
      <c r="AJ74" s="24"/>
    </row>
    <row r="75" spans="8:36" ht="15" customHeight="1" x14ac:dyDescent="0.2">
      <c r="H75" s="72"/>
      <c r="I75" s="72"/>
      <c r="J75" s="72"/>
      <c r="K75" s="72"/>
      <c r="L75" s="72"/>
      <c r="M75" s="72"/>
      <c r="N75" s="72"/>
      <c r="O75" s="72"/>
      <c r="P75" s="72"/>
      <c r="Q75" s="72"/>
      <c r="R75" s="72"/>
      <c r="S75" s="26"/>
      <c r="T75" s="12"/>
      <c r="U75" s="12"/>
      <c r="V75" s="26"/>
      <c r="Z75" s="17">
        <v>43</v>
      </c>
      <c r="AJ75" s="24"/>
    </row>
    <row r="76" spans="8:36" ht="15" customHeight="1" x14ac:dyDescent="0.2">
      <c r="H76" s="72"/>
      <c r="I76" s="72"/>
      <c r="J76" s="72"/>
      <c r="K76" s="72"/>
      <c r="L76" s="72"/>
      <c r="M76" s="72"/>
      <c r="N76" s="72"/>
      <c r="O76" s="72"/>
      <c r="P76" s="72"/>
      <c r="Q76" s="72"/>
      <c r="R76" s="72"/>
      <c r="S76" s="26"/>
      <c r="T76" s="12"/>
      <c r="U76" s="12"/>
      <c r="V76" s="26"/>
      <c r="Z76" s="17">
        <v>44</v>
      </c>
      <c r="AJ76" s="24"/>
    </row>
    <row r="77" spans="8:36" ht="15" customHeight="1" x14ac:dyDescent="0.2">
      <c r="H77" s="72"/>
      <c r="I77" s="72"/>
      <c r="J77" s="72"/>
      <c r="K77" s="72"/>
      <c r="L77" s="72"/>
      <c r="M77" s="72"/>
      <c r="N77" s="72"/>
      <c r="O77" s="72"/>
      <c r="P77" s="72"/>
      <c r="Q77" s="72"/>
      <c r="R77" s="72"/>
      <c r="S77" s="26"/>
      <c r="T77" s="12"/>
      <c r="U77" s="12"/>
      <c r="V77" s="26"/>
      <c r="Z77" s="17">
        <v>45</v>
      </c>
      <c r="AJ77" s="24"/>
    </row>
    <row r="78" spans="8:36" ht="15" customHeight="1" x14ac:dyDescent="0.2">
      <c r="H78" s="72"/>
      <c r="I78" s="72"/>
      <c r="J78" s="72"/>
      <c r="K78" s="72"/>
      <c r="L78" s="72"/>
      <c r="M78" s="72"/>
      <c r="N78" s="72"/>
      <c r="O78" s="72"/>
      <c r="P78" s="72"/>
      <c r="Q78" s="72"/>
      <c r="R78" s="72"/>
      <c r="S78" s="26"/>
      <c r="T78" s="12"/>
      <c r="U78" s="12"/>
      <c r="V78" s="26"/>
      <c r="Z78" s="17">
        <v>46</v>
      </c>
      <c r="AJ78" s="24"/>
    </row>
    <row r="79" spans="8:36" ht="15" customHeight="1" x14ac:dyDescent="0.2">
      <c r="H79" s="72"/>
      <c r="I79" s="72"/>
      <c r="J79" s="72"/>
      <c r="K79" s="72"/>
      <c r="L79" s="72"/>
      <c r="M79" s="72"/>
      <c r="N79" s="72"/>
      <c r="O79" s="72"/>
      <c r="P79" s="72"/>
      <c r="Q79" s="72"/>
      <c r="R79" s="72"/>
      <c r="S79" s="26"/>
      <c r="T79" s="26"/>
      <c r="U79" s="26"/>
      <c r="V79" s="26"/>
      <c r="Z79" s="17">
        <v>47</v>
      </c>
      <c r="AJ79" s="24"/>
    </row>
    <row r="80" spans="8:36" ht="15" customHeight="1" x14ac:dyDescent="0.2">
      <c r="H80" s="72"/>
      <c r="I80" s="72"/>
      <c r="J80" s="72"/>
      <c r="K80" s="72"/>
      <c r="L80" s="72"/>
      <c r="M80" s="72"/>
      <c r="N80" s="72"/>
      <c r="O80" s="72"/>
      <c r="P80" s="72"/>
      <c r="Q80" s="72"/>
      <c r="R80" s="72"/>
      <c r="S80" s="26"/>
      <c r="T80" s="26"/>
      <c r="U80" s="26"/>
      <c r="V80" s="26"/>
      <c r="Z80" s="17">
        <v>48</v>
      </c>
      <c r="AJ80" s="24"/>
    </row>
    <row r="81" spans="26:36" ht="15" customHeight="1" x14ac:dyDescent="0.2">
      <c r="Z81" s="17">
        <v>49</v>
      </c>
      <c r="AJ81" s="24"/>
    </row>
    <row r="82" spans="26:36" ht="15" customHeight="1" x14ac:dyDescent="0.2">
      <c r="Z82" s="17">
        <v>50</v>
      </c>
      <c r="AJ82" s="24"/>
    </row>
    <row r="83" spans="26:36" ht="15" customHeight="1" x14ac:dyDescent="0.2">
      <c r="Z83" s="17">
        <v>51</v>
      </c>
      <c r="AJ83" s="24"/>
    </row>
    <row r="84" spans="26:36" ht="15" customHeight="1" x14ac:dyDescent="0.2">
      <c r="Z84" s="17">
        <v>52</v>
      </c>
      <c r="AJ84" s="24"/>
    </row>
    <row r="85" spans="26:36" ht="15" customHeight="1" x14ac:dyDescent="0.2">
      <c r="Z85" s="17">
        <v>53</v>
      </c>
      <c r="AJ85" s="24"/>
    </row>
    <row r="86" spans="26:36" ht="15" customHeight="1" x14ac:dyDescent="0.2">
      <c r="Z86" s="17">
        <v>54</v>
      </c>
      <c r="AJ86" s="24"/>
    </row>
    <row r="87" spans="26:36" ht="15" x14ac:dyDescent="0.2">
      <c r="Z87" s="17">
        <v>55</v>
      </c>
      <c r="AJ87" s="24"/>
    </row>
    <row r="88" spans="26:36" ht="15" x14ac:dyDescent="0.2">
      <c r="Z88" s="17">
        <v>56</v>
      </c>
      <c r="AJ88" s="24"/>
    </row>
    <row r="89" spans="26:36" ht="15" x14ac:dyDescent="0.2">
      <c r="Z89" s="17">
        <v>57</v>
      </c>
      <c r="AJ89" s="24"/>
    </row>
    <row r="90" spans="26:36" ht="15" x14ac:dyDescent="0.2">
      <c r="Z90" s="17">
        <v>58</v>
      </c>
      <c r="AJ90" s="24"/>
    </row>
    <row r="91" spans="26:36" ht="15" x14ac:dyDescent="0.2">
      <c r="Z91" s="17">
        <v>59</v>
      </c>
      <c r="AJ91" s="24"/>
    </row>
    <row r="92" spans="26:36" ht="15" x14ac:dyDescent="0.2">
      <c r="Z92" s="17">
        <v>60</v>
      </c>
      <c r="AJ92" s="24"/>
    </row>
    <row r="93" spans="26:36" ht="15" x14ac:dyDescent="0.2">
      <c r="Z93" s="17">
        <v>61</v>
      </c>
      <c r="AJ93" s="24"/>
    </row>
    <row r="94" spans="26:36" ht="15" x14ac:dyDescent="0.2">
      <c r="Z94" s="17">
        <v>62</v>
      </c>
      <c r="AJ94" s="24"/>
    </row>
    <row r="95" spans="26:36" ht="15" x14ac:dyDescent="0.2">
      <c r="Z95" s="17">
        <v>63</v>
      </c>
      <c r="AJ95" s="24"/>
    </row>
    <row r="96" spans="26:36" ht="15" x14ac:dyDescent="0.2">
      <c r="Z96" s="17">
        <v>64</v>
      </c>
      <c r="AJ96" s="24"/>
    </row>
    <row r="97" spans="26:36" ht="15" x14ac:dyDescent="0.2">
      <c r="Z97" s="17">
        <v>65</v>
      </c>
      <c r="AJ97" s="24"/>
    </row>
    <row r="98" spans="26:36" ht="15" x14ac:dyDescent="0.2">
      <c r="Z98" s="17">
        <v>66</v>
      </c>
      <c r="AJ98" s="24"/>
    </row>
    <row r="99" spans="26:36" ht="15" x14ac:dyDescent="0.2">
      <c r="Z99" s="17">
        <v>67</v>
      </c>
      <c r="AJ99" s="24"/>
    </row>
    <row r="100" spans="26:36" ht="15" x14ac:dyDescent="0.2">
      <c r="Z100" s="17">
        <v>68</v>
      </c>
      <c r="AJ100" s="24"/>
    </row>
    <row r="101" spans="26:36" ht="15" x14ac:dyDescent="0.2">
      <c r="Z101" s="17">
        <v>69</v>
      </c>
      <c r="AJ101" s="24"/>
    </row>
    <row r="102" spans="26:36" ht="15" x14ac:dyDescent="0.2">
      <c r="Z102" s="17">
        <v>70</v>
      </c>
      <c r="AJ102" s="24"/>
    </row>
    <row r="103" spans="26:36" ht="15" x14ac:dyDescent="0.2">
      <c r="Z103" s="17">
        <v>71</v>
      </c>
      <c r="AJ103" s="24"/>
    </row>
    <row r="104" spans="26:36" ht="15" x14ac:dyDescent="0.2">
      <c r="Z104" s="17">
        <v>72</v>
      </c>
      <c r="AJ104" s="24"/>
    </row>
    <row r="105" spans="26:36" ht="15" x14ac:dyDescent="0.2">
      <c r="Z105" s="17">
        <v>73</v>
      </c>
      <c r="AJ105" s="24"/>
    </row>
    <row r="106" spans="26:36" ht="15" x14ac:dyDescent="0.2">
      <c r="Z106" s="17">
        <v>74</v>
      </c>
      <c r="AJ106" s="24"/>
    </row>
    <row r="107" spans="26:36" ht="15" x14ac:dyDescent="0.2">
      <c r="Z107" s="17">
        <v>75</v>
      </c>
      <c r="AJ107" s="24"/>
    </row>
    <row r="108" spans="26:36" ht="15" x14ac:dyDescent="0.2">
      <c r="Z108" s="17">
        <v>76</v>
      </c>
      <c r="AJ108" s="24"/>
    </row>
    <row r="109" spans="26:36" ht="15" x14ac:dyDescent="0.2">
      <c r="Z109" s="17">
        <v>77</v>
      </c>
      <c r="AA109" s="24"/>
      <c r="AJ109" s="24"/>
    </row>
    <row r="110" spans="26:36" ht="15" x14ac:dyDescent="0.2">
      <c r="Z110" s="17">
        <v>78</v>
      </c>
      <c r="AA110" s="40"/>
    </row>
    <row r="111" spans="26:36" ht="15" x14ac:dyDescent="0.2">
      <c r="Z111" s="17">
        <v>79</v>
      </c>
      <c r="AA111" s="40"/>
    </row>
    <row r="112" spans="26:36" ht="15" x14ac:dyDescent="0.2">
      <c r="Z112" s="17">
        <v>80</v>
      </c>
      <c r="AA112" s="40"/>
    </row>
    <row r="113" spans="26:27" ht="15" x14ac:dyDescent="0.2">
      <c r="Z113" s="17">
        <v>81</v>
      </c>
      <c r="AA113" s="40"/>
    </row>
    <row r="114" spans="26:27" ht="15" x14ac:dyDescent="0.2">
      <c r="Z114" s="17">
        <v>82</v>
      </c>
      <c r="AA114" s="40"/>
    </row>
    <row r="115" spans="26:27" ht="15" x14ac:dyDescent="0.2">
      <c r="Z115" s="17">
        <v>83</v>
      </c>
      <c r="AA115" s="40"/>
    </row>
    <row r="116" spans="26:27" ht="15" x14ac:dyDescent="0.2">
      <c r="Z116" s="17">
        <v>84</v>
      </c>
      <c r="AA116" s="40"/>
    </row>
    <row r="117" spans="26:27" ht="15" x14ac:dyDescent="0.2">
      <c r="Z117" s="17">
        <v>85</v>
      </c>
      <c r="AA117" s="40"/>
    </row>
    <row r="118" spans="26:27" ht="15" x14ac:dyDescent="0.2">
      <c r="Z118" s="17">
        <v>86</v>
      </c>
      <c r="AA118" s="40"/>
    </row>
    <row r="119" spans="26:27" ht="15" x14ac:dyDescent="0.2">
      <c r="Z119" s="17">
        <v>87</v>
      </c>
      <c r="AA119" s="40"/>
    </row>
    <row r="120" spans="26:27" ht="15" x14ac:dyDescent="0.2">
      <c r="Z120" s="17">
        <v>88</v>
      </c>
      <c r="AA120" s="40"/>
    </row>
    <row r="121" spans="26:27" ht="15" x14ac:dyDescent="0.2">
      <c r="Z121" s="17">
        <v>89</v>
      </c>
      <c r="AA121" s="40"/>
    </row>
    <row r="122" spans="26:27" ht="15" x14ac:dyDescent="0.2">
      <c r="Z122" s="17">
        <v>90</v>
      </c>
      <c r="AA122" s="40"/>
    </row>
    <row r="123" spans="26:27" ht="15" x14ac:dyDescent="0.2">
      <c r="Z123" s="17">
        <v>91</v>
      </c>
      <c r="AA123" s="40"/>
    </row>
    <row r="124" spans="26:27" ht="15" x14ac:dyDescent="0.2">
      <c r="Z124" s="17">
        <v>92</v>
      </c>
      <c r="AA124" s="40"/>
    </row>
    <row r="125" spans="26:27" ht="15" x14ac:dyDescent="0.2">
      <c r="Z125" s="17">
        <v>93</v>
      </c>
      <c r="AA125" s="40"/>
    </row>
    <row r="126" spans="26:27" ht="15" x14ac:dyDescent="0.2">
      <c r="Z126" s="17">
        <v>94</v>
      </c>
      <c r="AA126" s="40"/>
    </row>
    <row r="127" spans="26:27" ht="15" x14ac:dyDescent="0.2">
      <c r="Z127" s="17">
        <v>95</v>
      </c>
      <c r="AA127" s="40"/>
    </row>
    <row r="128" spans="26:27" ht="15" x14ac:dyDescent="0.2">
      <c r="Z128" s="17">
        <v>96</v>
      </c>
      <c r="AA128" s="40"/>
    </row>
    <row r="129" spans="27:27" x14ac:dyDescent="0.2">
      <c r="AA129" s="40"/>
    </row>
    <row r="130" spans="27:27" x14ac:dyDescent="0.2">
      <c r="AA130" s="40"/>
    </row>
    <row r="131" spans="27:27" x14ac:dyDescent="0.2">
      <c r="AA131" s="40"/>
    </row>
    <row r="132" spans="27:27" x14ac:dyDescent="0.2">
      <c r="AA132" s="40"/>
    </row>
    <row r="133" spans="27:27" x14ac:dyDescent="0.2">
      <c r="AA133" s="40"/>
    </row>
    <row r="134" spans="27:27" x14ac:dyDescent="0.2">
      <c r="AA134" s="40"/>
    </row>
    <row r="135" spans="27:27" x14ac:dyDescent="0.2">
      <c r="AA135" s="40"/>
    </row>
    <row r="136" spans="27:27" x14ac:dyDescent="0.2">
      <c r="AA136" s="40"/>
    </row>
    <row r="137" spans="27:27" x14ac:dyDescent="0.2">
      <c r="AA137" s="40"/>
    </row>
    <row r="138" spans="27:27" x14ac:dyDescent="0.2">
      <c r="AA138" s="40"/>
    </row>
    <row r="139" spans="27:27" x14ac:dyDescent="0.2">
      <c r="AA139" s="40"/>
    </row>
    <row r="140" spans="27:27" x14ac:dyDescent="0.2">
      <c r="AA140" s="40"/>
    </row>
  </sheetData>
  <sheetProtection password="BF6F" sheet="1" selectLockedCells="1"/>
  <mergeCells count="100">
    <mergeCell ref="AB6:AE6"/>
    <mergeCell ref="AG6:AJ6"/>
    <mergeCell ref="A10:A11"/>
    <mergeCell ref="B10:G11"/>
    <mergeCell ref="I10:I11"/>
    <mergeCell ref="J10:Q11"/>
    <mergeCell ref="R19:X20"/>
    <mergeCell ref="R21:X22"/>
    <mergeCell ref="A17:E17"/>
    <mergeCell ref="A13:G13"/>
    <mergeCell ref="I13:O14"/>
    <mergeCell ref="P13:P14"/>
    <mergeCell ref="Q13:Q14"/>
    <mergeCell ref="A15:E15"/>
    <mergeCell ref="I15:O16"/>
    <mergeCell ref="P15:P16"/>
    <mergeCell ref="Q15:Q16"/>
    <mergeCell ref="A16:E16"/>
    <mergeCell ref="A14:E14"/>
    <mergeCell ref="R13:X14"/>
    <mergeCell ref="A22:E22"/>
    <mergeCell ref="A18:E18"/>
    <mergeCell ref="I18:Q18"/>
    <mergeCell ref="I19:O20"/>
    <mergeCell ref="P19:P20"/>
    <mergeCell ref="Q19:Q20"/>
    <mergeCell ref="A20:G20"/>
    <mergeCell ref="A21:E21"/>
    <mergeCell ref="F21:G21"/>
    <mergeCell ref="I21:O22"/>
    <mergeCell ref="P21:P22"/>
    <mergeCell ref="Q21:Q22"/>
    <mergeCell ref="R26:X27"/>
    <mergeCell ref="A23:E23"/>
    <mergeCell ref="I23:O24"/>
    <mergeCell ref="P23:P24"/>
    <mergeCell ref="Q23:Q24"/>
    <mergeCell ref="A24:E24"/>
    <mergeCell ref="R23:X24"/>
    <mergeCell ref="A25:E25"/>
    <mergeCell ref="I26:O27"/>
    <mergeCell ref="P26:P27"/>
    <mergeCell ref="Q26:Q27"/>
    <mergeCell ref="A27:C28"/>
    <mergeCell ref="D27:F28"/>
    <mergeCell ref="G27:G28"/>
    <mergeCell ref="I28:O28"/>
    <mergeCell ref="AB29:AF29"/>
    <mergeCell ref="A30:F30"/>
    <mergeCell ref="A31:F31"/>
    <mergeCell ref="I31:O32"/>
    <mergeCell ref="P31:P32"/>
    <mergeCell ref="Q31:Q32"/>
    <mergeCell ref="AA31:AA32"/>
    <mergeCell ref="AB31:AE31"/>
    <mergeCell ref="AF31:AF32"/>
    <mergeCell ref="A33:C33"/>
    <mergeCell ref="D33:F33"/>
    <mergeCell ref="A29:C29"/>
    <mergeCell ref="D29:F29"/>
    <mergeCell ref="I29:O29"/>
    <mergeCell ref="AG31:AH31"/>
    <mergeCell ref="A32:C32"/>
    <mergeCell ref="D32:F32"/>
    <mergeCell ref="A37:C37"/>
    <mergeCell ref="D37:F37"/>
    <mergeCell ref="I37:L37"/>
    <mergeCell ref="A34:C34"/>
    <mergeCell ref="D34:F34"/>
    <mergeCell ref="I34:M35"/>
    <mergeCell ref="Q34:Q35"/>
    <mergeCell ref="A35:F35"/>
    <mergeCell ref="A36:C36"/>
    <mergeCell ref="D36:F36"/>
    <mergeCell ref="I36:L36"/>
    <mergeCell ref="N34:N35"/>
    <mergeCell ref="O34:O35"/>
    <mergeCell ref="P34:P35"/>
    <mergeCell ref="Q38:Q39"/>
    <mergeCell ref="A39:F39"/>
    <mergeCell ref="A40:F40"/>
    <mergeCell ref="A41:C41"/>
    <mergeCell ref="D41:F41"/>
    <mergeCell ref="I41:Q42"/>
    <mergeCell ref="A42:C42"/>
    <mergeCell ref="D42:F42"/>
    <mergeCell ref="A38:F38"/>
    <mergeCell ref="I38:L39"/>
    <mergeCell ref="M38:M39"/>
    <mergeCell ref="N38:N39"/>
    <mergeCell ref="O38:O39"/>
    <mergeCell ref="P38:P39"/>
    <mergeCell ref="A48:Q56"/>
    <mergeCell ref="A43:C43"/>
    <mergeCell ref="D43:F43"/>
    <mergeCell ref="A44:C44"/>
    <mergeCell ref="D44:F44"/>
    <mergeCell ref="I44:Q45"/>
    <mergeCell ref="A45:C45"/>
    <mergeCell ref="D45:F45"/>
  </mergeCells>
  <conditionalFormatting sqref="P23:P24">
    <cfRule type="expression" dxfId="22" priority="16">
      <formula>$P$23&gt;24</formula>
    </cfRule>
    <cfRule type="expression" dxfId="21" priority="2">
      <formula>$P$23&lt;0</formula>
    </cfRule>
  </conditionalFormatting>
  <conditionalFormatting sqref="I23">
    <cfRule type="cellIs" dxfId="20" priority="15" operator="lessThan">
      <formula>0</formula>
    </cfRule>
  </conditionalFormatting>
  <conditionalFormatting sqref="G39">
    <cfRule type="expression" dxfId="19" priority="14">
      <formula>(G37*1000&lt;G39)</formula>
    </cfRule>
  </conditionalFormatting>
  <conditionalFormatting sqref="A38:F38">
    <cfRule type="expression" dxfId="18" priority="13">
      <formula>AND($G$36="Ja",$G$37&gt;6)</formula>
    </cfRule>
  </conditionalFormatting>
  <conditionalFormatting sqref="R23">
    <cfRule type="expression" dxfId="17" priority="17">
      <formula>$P$23&gt;24</formula>
    </cfRule>
  </conditionalFormatting>
  <conditionalFormatting sqref="P13 R13">
    <cfRule type="expression" dxfId="16" priority="18">
      <formula>AND($G$36="Ja",$P$13&gt;225)</formula>
    </cfRule>
  </conditionalFormatting>
  <conditionalFormatting sqref="P26 R26">
    <cfRule type="expression" dxfId="15" priority="19">
      <formula>AND($G$36="Ja",$P$26&gt;125)</formula>
    </cfRule>
  </conditionalFormatting>
  <conditionalFormatting sqref="P19">
    <cfRule type="expression" dxfId="14" priority="20">
      <formula>AND(OR(P19&lt;65,P19&gt;225),G36="Ja")</formula>
    </cfRule>
  </conditionalFormatting>
  <conditionalFormatting sqref="P21">
    <cfRule type="expression" dxfId="13" priority="21">
      <formula>AND(OR(P21&lt;1,P21&gt;12),G36="Ja")</formula>
    </cfRule>
  </conditionalFormatting>
  <conditionalFormatting sqref="G40">
    <cfRule type="expression" dxfId="12" priority="24">
      <formula>AND(G29="NEIN",G34&lt;1,G40&gt;0)</formula>
    </cfRule>
  </conditionalFormatting>
  <conditionalFormatting sqref="R19">
    <cfRule type="expression" dxfId="11" priority="26">
      <formula>AND(OR(P19&lt;65,P19&gt;225),G36="Ja")</formula>
    </cfRule>
  </conditionalFormatting>
  <conditionalFormatting sqref="R21">
    <cfRule type="expression" dxfId="10" priority="27">
      <formula>AND(OR(P21&lt;1,P21&gt;12),G36="Ja")</formula>
    </cfRule>
  </conditionalFormatting>
  <conditionalFormatting sqref="G37">
    <cfRule type="expression" dxfId="9" priority="12">
      <formula>AND($G$36="JA",$G$37&gt;6)</formula>
    </cfRule>
  </conditionalFormatting>
  <conditionalFormatting sqref="I44:Q45">
    <cfRule type="expression" dxfId="8" priority="3">
      <formula>AND($G$36="Ja",$P$26&gt;125)</formula>
    </cfRule>
    <cfRule type="expression" dxfId="7" priority="4">
      <formula>$P$23&gt;24</formula>
    </cfRule>
    <cfRule type="expression" dxfId="6" priority="5">
      <formula>AND(OR(P21&lt;1,P21&gt;12),G36="Ja")</formula>
    </cfRule>
    <cfRule type="expression" dxfId="5" priority="6">
      <formula>AND(OR(P19&lt;65,P19&gt;225),G36="Ja")</formula>
    </cfRule>
    <cfRule type="expression" dxfId="4" priority="7">
      <formula>AND($G$36="Ja",$P$13&gt;225)</formula>
    </cfRule>
    <cfRule type="expression" dxfId="3" priority="9">
      <formula>AND(G29="NEIN",G34&lt;1,G40&gt;0)</formula>
    </cfRule>
    <cfRule type="expression" dxfId="2" priority="10">
      <formula>(G37*1000&lt;G39)</formula>
    </cfRule>
    <cfRule type="expression" dxfId="1" priority="11">
      <formula>AND($G$36="Ja",$G$37&gt;6)</formula>
    </cfRule>
    <cfRule type="expression" dxfId="0" priority="1">
      <formula>$P$23&lt;0</formula>
    </cfRule>
  </conditionalFormatting>
  <dataValidations count="18">
    <dataValidation type="list" allowBlank="1" showInputMessage="1" showErrorMessage="1" errorTitle="Achtung" error="Ändern Sie Ihre Eingabe! _x000a_Es wird nur die Eingabe JA oder NEIN akzeptiert!" sqref="G29:G30 G32 G36">
      <formula1>$Z$30:$Z$31</formula1>
    </dataValidation>
    <dataValidation type="list" allowBlank="1" showInputMessage="1" showErrorMessage="1" errorTitle="Achtung" error="Geben Sie einen Zahlenwert zwischen 0 und 16 an!" sqref="G34 G41 G37">
      <formula1>$Z$32:$Z$48</formula1>
    </dataValidation>
    <dataValidation type="list" allowBlank="1" showInputMessage="1" showErrorMessage="1" errorTitle="Achtung" error="Geben Sie einen Zahlenwert zwischen 0 und 4 an!" sqref="G43:G44">
      <formula1>$Z$32:$Z$36</formula1>
    </dataValidation>
    <dataValidation type="list" allowBlank="1" showInputMessage="1" showErrorMessage="1" errorTitle="Achtung" error="Geben Sie einen Zahlenwert zwischen 0 und 2 an!" sqref="G33">
      <formula1>$Z$32:$Z$34</formula1>
    </dataValidation>
    <dataValidation type="list" allowBlank="1" showInputMessage="1" showErrorMessage="1" errorTitle="Achtung" error="Geben Sie einen Zahlenwert zwischen 0 und 12 ein!" sqref="G31">
      <formula1>$Z$32:$Z$44</formula1>
    </dataValidation>
    <dataValidation type="list" allowBlank="1" showInputMessage="1" showErrorMessage="1" errorTitle="Achtung" error="Geben Sie einen Zahlenwert zwischen 0 und 80 an!" sqref="G42">
      <formula1>$Z$32:$Z$112</formula1>
    </dataValidation>
    <dataValidation type="list" allowBlank="1" showInputMessage="1" showErrorMessage="1" errorTitle="Achtung" error="Geben Sie einen Zahlenwert zwischen 0 und 96 an!" sqref="G35">
      <formula1>$Z$32:$Z$128</formula1>
    </dataValidation>
    <dataValidation type="list" allowBlank="1" showInputMessage="1" showErrorMessage="1" errorTitle="Achtung" error="Geben Sie einen Zahlenwert zwischen 0 und 10 an!" sqref="G45">
      <formula1>$Z$32:$Z$42</formula1>
    </dataValidation>
    <dataValidation type="custom" allowBlank="1" showInputMessage="1" showErrorMessage="1" errorTitle="Achtung" error="Die Lautsprecherlast kann nich größer sein als die verfügbare Verstärkerleistung!" sqref="G39">
      <formula1>G39&lt;=G37*1000</formula1>
    </dataValidation>
    <dataValidation type="custom" allowBlank="1" showInputMessage="1" showErrorMessage="1" errorTitle="Achtung" error="Es muss mindestens ein PMX-4CR12 Controller oder ein PMX-4R24 Router vorhanden sein!_x000a_Ändern Sie entsprechend Ihre Eingabe!" sqref="G40">
      <formula1>OR(G29="JA",G34&gt;0)</formula1>
    </dataValidation>
    <dataValidation type="whole" allowBlank="1" showInputMessage="1" showErrorMessage="1" errorTitle="Achtung" error="Geben Sie einen Zahlenwert zwischen 0 und 10000 an!" sqref="F22:F25">
      <formula1>0</formula1>
      <formula2>10000</formula2>
    </dataValidation>
    <dataValidation type="whole" allowBlank="1" showInputMessage="1" showErrorMessage="1" errorTitle="Achtung" error="Geben Sie einen Zahlenwert zwischen 0 und 100 an!" sqref="F18">
      <formula1>0</formula1>
      <formula2>100</formula2>
    </dataValidation>
    <dataValidation type="whole" errorStyle="information" allowBlank="1" showInputMessage="1" showErrorMessage="1" errorTitle="Information" error="Die maximale Dauer für den Betrieb mit Sprache beträgt 120 min!_x000a__x000a_Mit OK wird der eingegebene Wert  übernommen!_x000a_Mit ABBRECHEN wird der eingegebene Wert verworfen!" sqref="F16">
      <formula1>0</formula1>
      <formula2>120</formula2>
    </dataValidation>
    <dataValidation type="whole" errorStyle="information" allowBlank="1" showInputMessage="1" showErrorMessage="1" errorTitle="Information" error="Die maximale Dauer für den Betrieb mit Alarmton beträgt 120 min!_x000a__x000a_Mit OK wird der eingegebene Wert übernommen!_x000a_Mit ABBRECHEN wird der eingegebene Wert verworfen!" sqref="F17">
      <formula1>0</formula1>
      <formula2>120</formula2>
    </dataValidation>
    <dataValidation type="whole" errorStyle="information" allowBlank="1" showInputMessage="1" showErrorMessage="1" errorTitle="Information" error="Die maximale Dauer für Ruhezustand-Betrieb beträgt 4800 min!_x000a__x000a_Mit OK wird der eingegebene Wert übernommen!_x000a_Mit ABBRECHEN wird der eingegebene Wert verworfen!" sqref="F15">
      <formula1>0</formula1>
      <formula2>4800</formula2>
    </dataValidation>
    <dataValidation type="whole" errorStyle="information" allowBlank="1" showInputMessage="1" showErrorMessage="1" errorTitle="Information" error="Die maximale Dauer für Standby-Betrieb beträgt 4800 min!_x000a__x000a_Mit OK wird der eingegebene Wert übernommen!_x000a_Mit ABBRECHEN wird der eingegebene Wert verworfen!" sqref="F14">
      <formula1>0</formula1>
      <formula2>4800</formula2>
    </dataValidation>
    <dataValidation type="whole" allowBlank="1" showInputMessage="1" showErrorMessage="1" errorTitle="Achtung" error="Geben Sie einen Zahlenwert zwischen 1 und 500 an!" sqref="P19:P20">
      <formula1>1</formula1>
      <formula2>500</formula2>
    </dataValidation>
    <dataValidation type="decimal" allowBlank="1" showInputMessage="1" showErrorMessage="1" errorTitle="Achtung" error="Geben Sie einen Zahlenwert zwischen 1 und 50 an!" sqref="P21:P22">
      <formula1>1</formula1>
      <formula2>50</formula2>
    </dataValidation>
  </dataValidations>
  <pageMargins left="0.70866141732283472" right="0.70866141732283472" top="0.74803149606299213" bottom="0.74803149606299213" header="0.31496062992125984" footer="0.31496062992125984"/>
  <pageSetup paperSize="9" scale="60" orientation="landscape"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ENGLISH</vt:lpstr>
      <vt:lpstr>DEUTSCH</vt:lpstr>
      <vt:lpstr>DEUTSCH!Print_Area</vt:lpstr>
      <vt:lpstr>ENGLISH!Print_Area</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Ranker Christian (ST-CO/MKA1.22)</dc:creator>
  <cp:lastModifiedBy>Gayen Abhijit (ST-CO/MKP1.2)</cp:lastModifiedBy>
  <cp:lastPrinted>2019-10-22T08:20:25Z</cp:lastPrinted>
  <dcterms:created xsi:type="dcterms:W3CDTF">2019-04-03T11:22:02Z</dcterms:created>
  <dcterms:modified xsi:type="dcterms:W3CDTF">2020-01-13T13:48:49Z</dcterms:modified>
</cp:coreProperties>
</file>